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codeName="{4D1C537B-E38A-612A-F078-A93A15B4B7F4}"/>
  <workbookPr codeName="DieseArbeitsmappe" defaultThemeVersion="166925"/>
  <mc:AlternateContent xmlns:mc="http://schemas.openxmlformats.org/markup-compatibility/2006">
    <mc:Choice Requires="x15">
      <x15ac:absPath xmlns:x15ac="http://schemas.microsoft.com/office/spreadsheetml/2010/11/ac" url="C:\Users\mpall\Desktop\"/>
    </mc:Choice>
  </mc:AlternateContent>
  <xr:revisionPtr revIDLastSave="0" documentId="13_ncr:1_{9D144B23-391C-478C-99C0-3BA9CCD2B76B}" xr6:coauthVersionLast="47" xr6:coauthVersionMax="47" xr10:uidLastSave="{00000000-0000-0000-0000-000000000000}"/>
  <bookViews>
    <workbookView xWindow="-28920" yWindow="2655" windowWidth="29040" windowHeight="15840" xr2:uid="{9125E557-E9E4-4551-9271-23EF4B5DCF66}"/>
  </bookViews>
  <sheets>
    <sheet name="GUI" sheetId="2" r:id="rId1"/>
    <sheet name="Character" sheetId="3" r:id="rId2"/>
    <sheet name="Infos" sheetId="5" r:id="rId3"/>
    <sheet name="Spells" sheetId="1" r:id="rId4"/>
    <sheet name="Würfel" sheetId="4" r:id="rId5"/>
    <sheet name="Wissenssammlung" sheetId="6" r:id="rId6"/>
  </sheets>
  <definedNames>
    <definedName name="_xlnm._FilterDatabase" localSheetId="0" hidden="1">GUI!$F$16:$S$31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9" i="2" l="1"/>
  <c r="G19" i="2" s="1"/>
  <c r="C8" i="3" l="1"/>
  <c r="I23" i="2"/>
  <c r="I22" i="2"/>
  <c r="C10" i="3"/>
  <c r="C9" i="3"/>
  <c r="D1" i="3"/>
  <c r="G26" i="2" l="1"/>
  <c r="G28" i="2" l="1"/>
  <c r="W15" i="2" l="1"/>
  <c r="B6" i="2" l="1"/>
  <c r="G21" i="2" l="1"/>
  <c r="G29" i="2"/>
  <c r="G18" i="2"/>
  <c r="G20" i="2"/>
  <c r="G22" i="2"/>
  <c r="G25" i="2"/>
  <c r="G23" i="2"/>
  <c r="G30" i="2"/>
  <c r="G31" i="2"/>
  <c r="G24" i="2"/>
  <c r="G27" i="2"/>
  <c r="G17" i="2"/>
  <c r="F11" i="2" l="1"/>
  <c r="F10" i="2"/>
  <c r="Q2" i="4"/>
  <c r="Q3" i="4"/>
  <c r="Q4" i="4"/>
  <c r="L4" i="2"/>
  <c r="M4" i="2"/>
  <c r="D11" i="2" s="1"/>
  <c r="K4" i="2"/>
  <c r="C12" i="2" l="1"/>
  <c r="D12" i="2" s="1"/>
  <c r="C17" i="2"/>
  <c r="D17" i="2" s="1"/>
  <c r="C16" i="2"/>
  <c r="D16" i="2" s="1"/>
  <c r="C15" i="2"/>
  <c r="D15" i="2" s="1"/>
  <c r="C14" i="2"/>
  <c r="D14" i="2" s="1"/>
  <c r="C13" i="2"/>
  <c r="D13" i="2" s="1"/>
  <c r="C18" i="2"/>
  <c r="D18" i="2" s="1"/>
  <c r="F4" i="2"/>
  <c r="G4" i="2"/>
  <c r="E6" i="2" s="1"/>
  <c r="F6" i="2" s="1"/>
  <c r="H4" i="2"/>
  <c r="I4" i="2"/>
  <c r="J4" i="2"/>
  <c r="E4" i="2"/>
  <c r="G6" i="2" l="1"/>
  <c r="I6" i="2"/>
  <c r="E7" i="2"/>
  <c r="H7" i="2" s="1"/>
  <c r="D10" i="2"/>
  <c r="F7" i="2" l="1"/>
  <c r="G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tc={65BCD68A-EDE6-4A99-9971-6DEDC8EEA508}</author>
  </authors>
  <commentList>
    <comment ref="K15" authorId="0" shapeId="0" xr:uid="{65BCD68A-EDE6-4A99-9971-6DEDC8EEA508}">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While holding the staff, you have a +1 bonus to AC
Antwort:
    The Staff has 10 Charges, which are used to fuel the spells within it. With the staff in hand, you can use your action to cast one of the following spells from the staff if the spell is on your class's spell list: mage armor (1 charge) or shield (2 charges). No components are required
Antwort:
    the staff regains 1d6+4 expended charges each day at dawn. If you expend the stafff's last charge, roll a d20. On a 1, the staff shatters and is destroyed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tc={FF0E464B-F91A-4DAE-A2A3-0AF1124FA2C1}</author>
  </authors>
  <commentList>
    <comment ref="D4" authorId="0" shapeId="0" xr:uid="{FF0E464B-F91A-4DAE-A2A3-0AF1124FA2C1}">
      <text>
        <t>[Kommentarthread]
Ihre Version von Excel gestattet Ihnen das Lesen dieses Kommentarthreads. Jegliche Bearbeitungen daran werden jedoch entfernt, wenn die Datei in einer neueren Version von Excel geöffnet wird. Weitere Informationen: https://go.microsoft.com/fwlink/?linkid=870924.
Kommentar:
    dank Stab +1, mit Mage Armour 13+2, mit Shield +5</t>
      </text>
    </comment>
  </commentList>
</comments>
</file>

<file path=xl/sharedStrings.xml><?xml version="1.0" encoding="utf-8"?>
<sst xmlns="http://schemas.openxmlformats.org/spreadsheetml/2006/main" count="253" uniqueCount="168">
  <si>
    <t>Name</t>
  </si>
  <si>
    <t>Beschreibung</t>
  </si>
  <si>
    <t>Level1</t>
  </si>
  <si>
    <t>Level3</t>
  </si>
  <si>
    <t>Anzahl und Art. D Würfel</t>
  </si>
  <si>
    <t>FireBolt</t>
  </si>
  <si>
    <t>Range</t>
  </si>
  <si>
    <t>Duration</t>
  </si>
  <si>
    <t>Components</t>
  </si>
  <si>
    <t>Casting Time</t>
  </si>
  <si>
    <t>You hurl a mote of fire at a creature or object within range. Make a ranged spell attack against the target. On a hit, the target takes 1d10 fire damage. A flammable object hit by this spell ignites if it isn’t being worn or carried. This spell’s damage increases by 1d10 when you reach 5th level (2d10), 11th level (3d10), and 17th level (4d10).</t>
  </si>
  <si>
    <t>Level 2</t>
  </si>
  <si>
    <t>120 feet</t>
  </si>
  <si>
    <t>1 Action</t>
  </si>
  <si>
    <t>Instantaneous</t>
  </si>
  <si>
    <t>Verbal
Symbolic</t>
  </si>
  <si>
    <t>Cantrip</t>
  </si>
  <si>
    <t>A frigid beam of blue-white light streaks toward a creature within range. Make a ranged spell attack against the target. On a hit, it takes 1d8 cold damage, and its speed is reduced by 10 feet until the start of your next turn.</t>
  </si>
  <si>
    <t>Ray Of Frost</t>
  </si>
  <si>
    <t>60 feet</t>
  </si>
  <si>
    <t>Burning Hands</t>
  </si>
  <si>
    <t xml:space="preserve">    As you hold your hands with thumbs touching and fingers spread, a thin sheet of flames shoots forth from your outstretched fingertips. Each creature in a 15-foot cone must make a Dexterity saving throw. A creature takes 3d6 fire damage on a failed save, or half as much damage on a successful one. The fire ignites any flammable objects in the area that aren’t being worn or carried.
    At Higher Levels: When you cast this spell using a spell slot of 2nd level or higher, the damage increases by 1d6 for each slot level above 1st.</t>
  </si>
  <si>
    <t>15-foot cone</t>
  </si>
  <si>
    <t>False Life</t>
  </si>
  <si>
    <t>Bolstering yourself with a necromantic facsimile of life, you gain 1d4 + 4 temporary hit points for the duration.</t>
  </si>
  <si>
    <t>self</t>
  </si>
  <si>
    <t>1 hour</t>
  </si>
  <si>
    <t>Verbal
Symbolic
Alcohol</t>
  </si>
  <si>
    <t>You create a shard of ice and fling it at one creature within range. Make a ranged spell attack against the target. On a hit, the target takes 1d10 piercing damage. Hit or miss, the shard then explodes. The tqarget and each creature  within 5 feet of the point where the ice exploded must succeed on a Dex saving throw or take 2d6 cold damage</t>
  </si>
  <si>
    <t>Symbolic
Drop of Water</t>
  </si>
  <si>
    <t>Ice Knife main</t>
  </si>
  <si>
    <t>Ice Knife explosion</t>
  </si>
  <si>
    <t>5 feet</t>
  </si>
  <si>
    <t>1 follow Action</t>
  </si>
  <si>
    <t>-</t>
  </si>
  <si>
    <t>Magic Missile</t>
  </si>
  <si>
    <t xml:space="preserve">You create three glowing darts of magical force. Each dart hits a creature of your choice that you can see within range. A dart deals 1d4+1 force damage to its target. The darts all strike simultaneously and you can direct them to hit one creature or several.
At Higher Levels: When you cast this spell using a spell slot of 2nd Level or higher, the spell creates one more dart for each slot above 1st. </t>
  </si>
  <si>
    <t>Shield</t>
  </si>
  <si>
    <t>An invisible barrier of magical force appears and protects you. Until the start of your next turn, you have a +5 bonus to AC, including against the triggering attack, and you take no damage from magic missile.</t>
  </si>
  <si>
    <t>1 round</t>
  </si>
  <si>
    <t>1 reaction</t>
  </si>
  <si>
    <t>Witch Bolt</t>
  </si>
  <si>
    <t>A beam of crackling, blue Energy lances out towad a creature within range, forming a sustained arc of lightning between you and the target.
Make a ranged spell attack against the creature. Oon a hit, the target takes 1d12 lightning damage, and on each of your turns for the duration, you can use your actionto deal 1d12 lightning damage to thetarget automatically. The spell  ends if you use your action to do anything else. the spell also ends if the target ist ever outside the spells range or if it has total cover from you</t>
  </si>
  <si>
    <t>30 feet</t>
  </si>
  <si>
    <t>up to 1 Minute</t>
  </si>
  <si>
    <t>Verbal
Symbolic
a twig from a tree that has been struck by a lightning</t>
  </si>
  <si>
    <t>Witch Bolt following</t>
  </si>
  <si>
    <t>Flaming Sphere</t>
  </si>
  <si>
    <t>Concentration, up do 1 Minute</t>
  </si>
  <si>
    <t>Verbal
Symbolic
Talg, Schwefel &amp; Eisenpulverstaub</t>
  </si>
  <si>
    <t>Flaming Sphere
follow lv2</t>
  </si>
  <si>
    <t>Flaming Sphere
follow lv3</t>
  </si>
  <si>
    <t>A 5-foot-diameter Sphere of fire appears in an unoccupied space of your choice within range and lasts for the Duration. Any creature that ends its turn within 5 feet of the Sphere must make a Dexterity saving throw. The creature takes 2d6 fire damage on a failed save, or half as much damage on a successful one.
As a Bonus Action, you can move the Sphere up to 30 feet. If you ram the Sphere into a creature, that creature must make the saving throw against the sphere's damage, and the Sphere stops moving this turn.
When you move the Sphere, you can direct it over barriers up to 5 feet tall and jump it across pits up to 10 feet wide. The Sphere ignites flammable Objects not being worn or carried, and it sheds bright light in a 20-foot radius and dim light for an additional 20 feet.</t>
  </si>
  <si>
    <t>Ray of Enfeeblement</t>
  </si>
  <si>
    <t>A black beam of enervating energy springs from your finger toward a creature within range. Make a ranged spell attack against the target. On a hit, the target deals only half damage with weapon attacks that use Strength until the spell ends.
At the end of each of the target’s turns, it can make a Constitution saving throw against the spell. On a success, the spell ends.</t>
  </si>
  <si>
    <t>Ranged</t>
  </si>
  <si>
    <t>Ranged, Melee, self, AOE</t>
  </si>
  <si>
    <t>AOE</t>
  </si>
  <si>
    <t>ranged</t>
  </si>
  <si>
    <t>Spell</t>
  </si>
  <si>
    <t>Intelligence</t>
  </si>
  <si>
    <t>AC</t>
  </si>
  <si>
    <t>Proficiency</t>
  </si>
  <si>
    <t>Level</t>
  </si>
  <si>
    <t>Schaden Total</t>
  </si>
  <si>
    <t>Schaden Bonus</t>
  </si>
  <si>
    <t>Anzahl würfel</t>
  </si>
  <si>
    <t>Art Würfel</t>
  </si>
  <si>
    <t>Bonusschaden</t>
  </si>
  <si>
    <t>Vorteil</t>
  </si>
  <si>
    <t>Normal</t>
  </si>
  <si>
    <t>Advantage</t>
  </si>
  <si>
    <t>Disadvantage</t>
  </si>
  <si>
    <t>Spell Save DC Ranged</t>
  </si>
  <si>
    <t>Bless</t>
  </si>
  <si>
    <t>Ja</t>
  </si>
  <si>
    <t>Nein</t>
  </si>
  <si>
    <t>D20 für was auch immer</t>
  </si>
  <si>
    <t>poison</t>
  </si>
  <si>
    <t>web</t>
  </si>
  <si>
    <t>Initiative</t>
  </si>
  <si>
    <t>Severin</t>
  </si>
  <si>
    <t>Max</t>
  </si>
  <si>
    <t>Maurus</t>
  </si>
  <si>
    <t>Felix</t>
  </si>
  <si>
    <t>Stefan</t>
  </si>
  <si>
    <t>zusammen mit Cousing von Felix die Wave Ecocave erkundet.
Er hat sich entschieden nicht mit zu kommen
in normaler Truppe in die Höhle
unterwegs einen Schleim bekämpft, vier Zombies bekämpft, ein Skelett gelootet und schlussendlich 5 Bugbears bekämpft</t>
  </si>
  <si>
    <t>07.04.2020
in Höhle mit grossem Graben zwei Bugbears und ein Dunkelelf bekämpft. Dunkelelf hatte ca. 100 Leben, ist geflüchtet richtung Nordwesten
Im Raum ganz im Nordwesten der Karte auf Black Spyder gestossen. Verteidigt von zwei Bugbears und vier giftigen Spinnen.
Severin hat Black spyder verzaubert, dass er paralysiert war.
Spinnen haben Gift und Netz; sowohl Max als auch ich waren zwischenzeitlich tod; sind geflüchtet Richtung Süden
den letzten Cousign von Felix, Nundro, konnten wir jedoch befreien. Black Spyder scheint den Korridor verzaubert zu haben.
leben durch den Wald um unser Leben</t>
  </si>
  <si>
    <t>Lv1</t>
  </si>
  <si>
    <t>Lv2</t>
  </si>
  <si>
    <t>Lv3</t>
  </si>
  <si>
    <t>14.04.2020 Nundro</t>
  </si>
  <si>
    <t>wurde gefangen genommen von Black Spyder
die wollten wissen was ich über die Höhle weis
die wollen die Schätze, die in der Höhle sind
in dieser Höhle wurden mächtige Waffen und Zaubersprüche entwickelt
Doppelgänger scheinen Handlanger von Black Spyder zu sein</t>
  </si>
  <si>
    <t>Inventar</t>
  </si>
  <si>
    <t>Money</t>
  </si>
  <si>
    <t>Gold</t>
  </si>
  <si>
    <t>Silver</t>
  </si>
  <si>
    <t>Copper</t>
  </si>
  <si>
    <t>Adventuring Gear</t>
  </si>
  <si>
    <t>Hit Dice</t>
  </si>
  <si>
    <t>D20</t>
  </si>
  <si>
    <t>gentle repose</t>
  </si>
  <si>
    <t>You touch a corpse or other remains. For the duration, the target is protected from decay and can't become undead.
The spell also effectively extends the time limit on raising the target from the dead, since days spent under the influence of this spell don't count against the time limit of spells such as raise dead.</t>
  </si>
  <si>
    <t>touch</t>
  </si>
  <si>
    <t>10 days</t>
  </si>
  <si>
    <t>levitate</t>
  </si>
  <si>
    <t>One creature or loose object of your choice that you can see within range rises vertically, up to 20 feet, and remains suspended there for the duration. The spell can levitate a target that weighs up to 500 pounds. An unwilling creature that succeeds on a Constitution saving throw is unaffected.
The target can move only by pushing or pulling against a fixed object or surface within reach (such as a wall or a ceiling), which allows it to move as if it were climbing. You can change the target's altitude by up to 20 feet in either direction on your turn. If you are the target, you can move up or down as part of your move. Otherwise, you can use your action to move the target, which must remain within the spell's range.
When the spell ends, the target floats gently to the ground if it is still aloft.</t>
  </si>
  <si>
    <t>60 ft</t>
  </si>
  <si>
    <t>10 Minutes</t>
  </si>
  <si>
    <t>Verbal
Symbolic
either a small leather loop or a piece of golden wire bent into a cup shape with a long shank on one end</t>
  </si>
  <si>
    <t>Verbal
Symbolic
a pinch of salt and one copper piece placed on each of the corpse's eyes, which must remain there for the duration</t>
  </si>
  <si>
    <t>Mage Hand</t>
  </si>
  <si>
    <t>A spectral, floating hand appears at a point you choose within range. The hand lasts for the duration or until you dismiss it as an action. The hand vanishes if it is ever more than 30 feet away from you or if you cast this spell again.
You can use your action to control the hand. You can use the hand to manipulate an object, open an unlocked door or container, stow or retrieve an item from an open container, or pour the contents out of a vial. You can move the hand up to 30 feet each time you use it.
The hand can’t attack, activate magic items, or carry more than 10 pounds.</t>
  </si>
  <si>
    <t>1 Minute</t>
  </si>
  <si>
    <t>paralyzed</t>
  </si>
  <si>
    <t>14.04.2020
nach Phandalin gewandert und dort bei Lionshield Coster loot verkauft
anschliessend bei Barhen's Provisions Shopping tripp
beim Schmied und Bauer vorbei, alles organisiert für meine Zaubertricks
Bäuerin eingeladen zum essen und saufen
mich besoffen bis auf Tresen eingeschlafen
bei Barthen's das Armband abgeholt
höhle gestürmt, Black Spyder immernoch mit vier Spinnen + Bugbear im Raum
Black Spyder heist Nezar
Kampf mitten drin, Max hat zuletzt angegriffen</t>
  </si>
  <si>
    <t>Spell Save DC</t>
  </si>
  <si>
    <t>Spell save DC = 8 + your proficiency bonus + your Intelligence modifier
Spell attack modifier = your proficiency bonus + your Intelligence modifier</t>
  </si>
  <si>
    <t>Spell Attack Modifier</t>
  </si>
  <si>
    <t>your proficiency bonus + your Intelligence modifier</t>
  </si>
  <si>
    <t>ranged spell attack</t>
  </si>
  <si>
    <t>27.04.2020
Black Spyder zuerst hart bekämpft, dann überlistet
Statue gefunden mit funkelnden Augen Detect Magic von Felix hat ergeben, dass die Statue magisch geschützt ist.
Wertvoller Loot gefunden
3 Shortrests gemacht =&gt; Spell Slots annähernd recovered
Stab: man muss angewöhnt sein an den Stab um ihn zu nutzen
hat 10 Ladungen für (nur wenn auf Spell List)
Spyder Climb, Web =&gt; Severin reisst ihn an sich
in versteckter Kammer Nundro gefunden. Dadurch gemerkt, dass wir den Doppelgänger in der Stadt gelassen haben
Nundro erzählt, dass er mit Tarden in der Höhle war. Dann wurde er von Black Spyder gefangen genommen worden und unter Spell und Zaubertrank verhört. (Felix erkennt Enchantement Aura)
auf dem Weg aus der Höhle noch die letzte Spinne gekillt
draussen vor der Höhle den Longrest gemacht (Staff in dieser Zeit auf mich atuned)</t>
  </si>
  <si>
    <t>Mage Armour</t>
  </si>
  <si>
    <t>You touch a willing creature who isn’t wearing armor, and a protective magical force surrounds it until the spell ends. The target’s base AC becomes 13 + its Dexterity modifier. The spell ends if the target dons armor or if you dismiss the spell as an action.</t>
  </si>
  <si>
    <t>V S M (A piece of cured leather)</t>
  </si>
  <si>
    <t>8 hours</t>
  </si>
  <si>
    <t>04.05.2020
Zurück nach Phandalin, dort uns auf die Suche gemacht nach dem Gestaltwandler. Der Wirt vom .. Inn informiert den Info-Trupp, dass die beiden Zwerge heute Morgen abgereist sind, weiss aber nicht wohin.
Der Erkundungstrupp untersucht alles auf der Suche nach Infos. Im Zimmer finden wir einen Erpresssungsbrief: Die Schätze der Forge of Spells gegen Nundro
weitere Übernachtung im Inn, am Morgen in Taverne herumgefragt ob jemand weiss wohni der Gestaltwandler ist..
ein commoner erzählt, dass er einen Zwerg gesehen hat, der von einer Burg gekommen ist "inser random Burgname", südlicher als Leilon.
Statue bei Heilerin abgegeben mit der Bitte zu untersuchen.
Doppelgänger hat auf unsere Kosten bei Barthen eingekauft:
- ein Satz Tinte, Feder + Pergament
- Rucksack mit Tücher, Seil, 10 Rationen, 
- kleine Tasche, 3* Öl, Potion of Healing, eine Flasche Alchemist-Fire
- Schaufel, Hunting-Trap, Long-Sword
zurück zur Wave Ecocave gegangen
von 10 Fledermäusen angegriffen, in 1.5 Runden grilliert
Figur an Decke zeigt Dumathuin, der über die Tapferen und die Zwerge wacht
in unerwartetem Raum 10 Skelett angetroffen, u.A. dank Trick von Felix gemütlich gewonnen.
Anschliessend Long-Rest in diesem Raum (Reset noch nicht gemacht da unklar ob wir noch überrascht werden)</t>
  </si>
  <si>
    <t>D6</t>
  </si>
  <si>
    <t>11.05.2020
versucht Long-Rest zu machen, zuvor noch drei Zombies gekillt
danach Longrest: halbe Hit Dice = alle, 4+3 = 7 =&gt; alle Shield Stab regeneriert
Raum im Osten mit Mysteriöser Kiste gefunden (konnten wir nicht öffnen)
weiter nödrlich gelaufen, im Nordosten eine Pilzhöhle. Damit gespielt, keine Lösung gefunden wie wir dagegen ankommen. Weiter südlich gezogen
in Höhle im Süden Ghouls getroffen. einige davon bekämpft, einige sind aufgrund des Fluchs von Felix abgehauen. Kampf eingefroren "mitten drin", Ghoul 4 ist als nächstes dran.</t>
  </si>
  <si>
    <t>Staff of defence</t>
  </si>
  <si>
    <t>Death</t>
  </si>
  <si>
    <t>stable</t>
  </si>
  <si>
    <t>08.07.2020
die ganze Zeit gekämpft. Zuerst gegen Ghoul's dann während der Verfolgung 9 Zombies und einem Flaming Skull (zaubernder Kopf) in die Arme gerannt  und nahe an Total Party Kill vorbei geschrammt. Schlussendlich etwas zurück gezogen und Skull ist zurück in die Höhle gegangen. Skull hat gesagt, dass wir ihn nicht verfolgen sollen sonst tot. Danach auf den Weg gemacht für Long-Rest</t>
  </si>
  <si>
    <t>XP</t>
  </si>
  <si>
    <t>20.07.20
Felix ist auch nach Long-Rest noch benommen (kümmert sich um Linda).
Daher als Gruppe die einfacheren Teile der Höhle erkundet:
- 3 Ghouls getötet
- 4 Stirches grilliert (Burning hand von mir ^^)
Schlussendlich durch den Pilz-Raum (dank Spider Climb) - Max hat's erwischt
Danach shortrest gemacht um zu erhohlen
Raum dahinter pulsiert von Magie und ist voller Kristalle (an den Wänden)
Türscharniere mit Eis spröde gemacht, dann hinein gegangen. Wraith (mit 161 HP !!!) gekillt. Kiste gelootet mit viiiiiel Geld und 3 Diamanten im Wert von 100 GP drin.
Anschliessend unterschiedlich erfolgreich zurück zu Felix in unsere Erhohlungshöhle. Dort einen Störungsfreien Longrest gemacht</t>
  </si>
  <si>
    <t>Gegner</t>
  </si>
  <si>
    <t>Death Save</t>
  </si>
  <si>
    <t>Death Fail</t>
  </si>
  <si>
    <t>27.07.2020
die gesamte Gruppe ist angetreten gegen den Flaming Skull
Die vier Zombies waren +/- schnell tod, Flaming Skull hat uns heftig eingeheizt (Fireball). Diverse Jungs sind gestorben, wiederbelebt und gestorben (ich dreimal..)
die Kämpfer haben uns bewusstlosen zurück in den Lagerraum geschleppt</t>
  </si>
  <si>
    <t>24.08.2020
Flaming Skull Ertränkt und gepeinigt, anschliessend mit Holy-Water unschädlich gemacht, danach Longrest
die ganze Höhle abgesucht, schlussendlich Spectator gefunden und den grilliert
grünes Feuer war Quelle der Magie, kann Waffe für 12 Stunden verzaubern (aufleveln)
Timeline bis Treffpunkt mit Kidnapper: 1.5 von 10 Tagen verbraucht</t>
  </si>
  <si>
    <t>12.9.2020
Ideen gesammelt wie wir den Kidnapper "bezahlen". Ergebnis: wir präparieren eine Kiste voller "Schätze" = verzauberte Steine + eine verzauberte Axt in der Forge of Spells.
Anschliessend die letzte verschlossene Kiste mit Thiefs Tools geöffnet und gelootet.
nach ewigen Diskussionen am Mittag des 2. Tages von Höhle losgelaufen und zur  Kreuzung wo wir (am Abend) ankommen, alles absuchen, übernachten, nochmals suchen, Severin und Max verbuddeln (sie kommunizieren mit Message-Spell zu uns).
am Mittag des 3. Tages in Barthen's Provisions shoppen gegangen
zurück in die Höhle und da unsere Schatzkiste "bödelet" mit Pilzen</t>
  </si>
  <si>
    <t>X</t>
  </si>
  <si>
    <t>Armo</t>
  </si>
  <si>
    <t>mind flayr</t>
  </si>
  <si>
    <t>duargar4</t>
  </si>
  <si>
    <t>duargar5</t>
  </si>
  <si>
    <t>Doppelgänger</t>
  </si>
  <si>
    <t>19.10.2020
Hammer von Felix 10 mal in die Forge of Spells gehalten, danach zurück in Kiste und auf Weg gemacht zur Kreuzung
von einem Schergen des Doppelgängers in Höhle geführt worden, durch Portal in Unterwelt, dort Austausch Kiste gegen Gefangene, zurück durch Portal, Truppe aufgelauert, gekämpft und schrecklich verloren. =&gt;&gt; Max gestorben (Perma-Death), Maurus knapp gestorben und in Gefangenschaft geraten. Der Rest geflüchtet</t>
  </si>
  <si>
    <t>Rucksack</t>
  </si>
  <si>
    <t>05.05.2021
Theodor gerettet im Keller,  Felix hat Theodor mit calm Emotions stabilisiert. Schläft jetzt, nicht ansprechbar.
Danach durch Schlucht zurück geflüchtet, lange gerastet, 8 Hobbgoblins mit viel Gelächter zerstört, ohne weitere Encounter zurück nach Neverwinter. Severin will noch zu Sildar, müssen aber erst nach dem Weg fragen</t>
  </si>
  <si>
    <t>21.04.21
Burg von oben her angeschlichen, zwei Duergaren erwischt, danach in Keller, dort Doppelgänger, Mindwittness + zwei Duergaren erwischt ohne, dass diese einen einzigen Treffer gelandet hätten</t>
  </si>
  <si>
    <t>22.02.21
Fleischhörnchen als Freund gewonnen, die beiden Duergaren im Steinbruch gekillt (schlau, einen nach dem Anderen), danach Schloss erkundet und schlussendlich zurück in den Wald und dort unter einem Tiny Hut shortrest. Felix hat immer mal wieder das Fleischhörnchen mit Trockenfleisch gefüttert.</t>
  </si>
  <si>
    <t>8.2.21
zwei Duergare &amp; zwei Swarms of Cranium Rats besiegt in einem Kampf, in welchem Panorin harscharf seinen "Tiny hut" errichten konnte. Danach in hut zurückgezogen für Long Rest</t>
  </si>
  <si>
    <t>28.01.21
zurück in in den Hinterhalt gegangen, dort weitere 6 Geister ausgelöscht (4 + 2), relativ wenig Schaden genommen dabei.
Nach dem Hintehalt einen Schortrest gemacht, Stärke regeneriert
halben Tag gelaufen, dann Shadow-Castle erreicht
zwei Duergars gejagt, der zweite von beiden hat sein Leben genutzt um die Leute im Schloss zu alarmieren. Woren hat ihn erwischt, steht aber mitten auf dem Weg, ist vom Schloss her sichtbar.
Wir bleiben Runden-basiert, habe verabschieder mit "macht euch Gedanken ob das schlau war",  ich mache mir Gedanken wie die Bewohner der Burg reagieren.
in gefundenen Kleidern wären noch 380 Gold, haben sie aber noch nicht gefunden</t>
  </si>
  <si>
    <t>19.01.2021
Stefan hat  nach  dem Longrest den Wisdom Saving Throw verpasst und  Despair erwischt. =&gt; Wunderschönes Role-Play, geheilt durch Dain
In zerklüfteten Felsen von 6 Schatten angegriffen worden. Zwei konten flüchten, vier erwischt, zwei gesehen, haben aber nicht angegriffen
geordneter Rückzug: Longrest auf Lichtung ohne Encounter
150 XP verteilt =&gt; hat allen gereicht für ein Lv. Up</t>
  </si>
  <si>
    <t>23.11.2020
durch den Spalt gegangen, Felix war sehr vorsichtig
Richtung Phandalin gezogen, in Nacht Encounter gemacht (800XP / Player)
danach wieder Long-Rest</t>
  </si>
  <si>
    <t>09.11.2020
Streit gehabt in erster Bar
weiter gezogen in zweite Bar, dort Lavra getroffen.
Mit Lavra in Tempel den Meister Joda getroffen, Felix Spell Scroll erhalten, Panorin heiliges Wasser vom Brunnen geschöpft, Schlafsack für 1 GP gekauft
2* übernachtet und gegessen für 28 SP</t>
  </si>
  <si>
    <t>Skelett</t>
  </si>
  <si>
    <t>Speer Goblin 1</t>
  </si>
  <si>
    <t>Speer Goblin 2</t>
  </si>
  <si>
    <t>19.5.2021
zurück ins In, da Ausgiebig frühstücken, dann ist Theodor aufs Zimmer gegangen, Myros hat viel Ale getrunken, danach sind alle in die Stadt gegangen..
Sildar sein Schild und Schwert retourniert
Danach im Dorf Einkäufe erledigt, Felix putzt vor dem Seeblick noch seine Schuhe
Am Abend ordentlich gefeiert, Worden hat tatsächlich eine wissenschaftselfe verführt
dann zwei Tage ausruhen und auf den Weg gemacht. durch ein Portal gegangen, zusammen mit Marco im Blitz Raum gelandet, dort ein Skelett und zwei Speer-Gobblins zerstört. Blitz Kristall untersucht Schlag (5) erhalten, davon gerannt Lavra erschnüffelt an Türe Psychic Damage; geöffnet dahinter zweite Türe</t>
  </si>
  <si>
    <t xml:space="preserve">31.05.2021
drei Runden mit Türe gekämpft. Schlussendlich geöffnet indem wir in den Spalt zwischen beiden Türen gestanden sind und die hintere geschlossen haben =&gt; dann liess sich die zweite öffnen..
Mit "durchreichen" können wir uns als Gruppe bewegen. haben einen Feuer-Kristall zerstört (ranged attack). Felix hat auch bereits einen zerstört. begonnen in 2er Teams die anderen zu zerstören. 
Rest ist noch nicht möglich, da </t>
  </si>
  <si>
    <t>9.6.21
Felix und Woren sind "abgestürzt", haben den Mechanismus lahmgelegt
danach, die verschiedenen Gänge ausgeräuchert.
In zweitletzter Runde gestorben, dank Heiltrank von Felix wiederbelebt, Environment hat mich wieder runter auf 0.7 ..</t>
  </si>
  <si>
    <t>Heiltrank</t>
  </si>
  <si>
    <t>Zaubertrank Buch (aus Kellerraum während Severin DM)</t>
  </si>
  <si>
    <t>1.7.21
Lavra und ich waren unten, haben Keller erkundet. 
Woren und Felix oben die Kristalle gegenseitig anihiliert. Die haben sich stets regeneriert und uns weiterhin damage verteilt.
Ich habe unten eine Truhe voll Gold gefunden. Das Mädchen (Libeli) hat erzählt, dass Panorin stark verwundet im Hut liegt, den alten (bösen) Mann geköpft hat.
annihilieren klappt nur mit Feuer und Wasser. Die anderen haben aufgehört zu reformieren als der letzte (kleine) Kristall in der Mitte zerstört wurde. diese Zerstörung löst eine Druckwelle des Erbrechens aus.
Ausserhalb der Höhle haben wir einen furchteinflössenden Drachen gefunden. Ich habe mit Net 20 den Staring Contest gewonnen, versucht ihn mit Gold zu bezirzen der Drache hat dennoch versucht mich zu fressen.
Lafra het sich fasch id Hose gmacht
zum heiligen Abschluss hat Felix die Ausscheidungen des alten gefunden und vollgekotzt..</t>
  </si>
  <si>
    <t>Ring of cold resistance</t>
  </si>
  <si>
    <t>21.7.21
Ring of Cold resistance erhalten
den Drachen angegriffen aus dem tiny hut heraus. Er ist davon geflogen, ich hab ihn gesucht, er hat mich in einem Angriff gekillt. Ich liege im Wasser, habe 3 Minuten Sauerstoff bevor ich ertrinke (1 + Const Modifier).
Dain hat mich geheilt, Lavra ist in der Rettungsaktion selbst ins Kreuzfeuer geraten =&gt; ist jetzt mit dem Drachen am kämpfen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</si>
</sst>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b/>
      <sz val="11"/>
      <color theme="1"/>
      <name val="Calibri"/>
      <family val="2"/>
      <scheme val="minor"/>
    </font>
    <font>
      <sz val="11"/>
      <color theme="0"/>
      <name val="Calibri"/>
      <family val="2"/>
      <scheme val="minor"/>
    </font>
    <font>
      <sz val="8"/>
      <name val="Calibri"/>
      <family val="2"/>
      <scheme val="minor"/>
    </font>
    <font>
      <sz val="8"/>
      <color theme="0" tint="-0.14999847407452621"/>
      <name val="Calibri"/>
      <family val="2"/>
      <scheme val="minor"/>
    </font>
    <font>
      <sz val="11"/>
      <color theme="0" tint="-0.14999847407452621"/>
      <name val="Calibri"/>
      <family val="2"/>
      <scheme val="minor"/>
    </font>
    <font>
      <sz val="11"/>
      <color rgb="FF000000"/>
      <name val="Calibri"/>
      <family val="2"/>
    </font>
    <font>
      <sz val="11"/>
      <name val="Calibri"/>
      <family val="2"/>
      <scheme val="minor"/>
    </font>
    <font>
      <strike/>
      <sz val="11"/>
      <color theme="1"/>
      <name val="Calibri"/>
      <family val="2"/>
      <scheme val="minor"/>
    </font>
  </fonts>
  <fills count="8">
    <fill>
      <patternFill patternType="none"/>
    </fill>
    <fill>
      <patternFill patternType="gray125"/>
    </fill>
    <fill>
      <patternFill patternType="solid">
        <fgColor theme="9" tint="0.59999389629810485"/>
        <bgColor indexed="64"/>
      </patternFill>
    </fill>
    <fill>
      <patternFill patternType="solid">
        <fgColor rgb="FFFFFF00"/>
        <bgColor indexed="64"/>
      </patternFill>
    </fill>
    <fill>
      <patternFill patternType="solid">
        <fgColor theme="0" tint="-0.249977111117893"/>
        <bgColor indexed="64"/>
      </patternFill>
    </fill>
    <fill>
      <patternFill patternType="solid">
        <fgColor rgb="FFFFC000"/>
        <bgColor indexed="64"/>
      </patternFill>
    </fill>
    <fill>
      <patternFill patternType="solid">
        <fgColor rgb="FF7030A0"/>
        <bgColor indexed="64"/>
      </patternFill>
    </fill>
    <fill>
      <patternFill patternType="solid">
        <fgColor rgb="FFAC75D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0" fillId="0" borderId="0" xfId="0" applyAlignment="1">
      <alignment horizontal="center"/>
    </xf>
    <xf numFmtId="0" fontId="0" fillId="0" borderId="0" xfId="0" applyAlignment="1">
      <alignment wrapText="1"/>
    </xf>
    <xf numFmtId="0" fontId="0" fillId="0" borderId="0" xfId="0" applyAlignment="1">
      <alignment horizontal="left"/>
    </xf>
    <xf numFmtId="0" fontId="0" fillId="0" borderId="0" xfId="0" applyAlignment="1">
      <alignment horizontal="left" vertical="center"/>
    </xf>
    <xf numFmtId="0" fontId="0" fillId="0" borderId="0" xfId="0" applyAlignment="1">
      <alignment vertical="center"/>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right"/>
    </xf>
    <xf numFmtId="0" fontId="4" fillId="0" borderId="0" xfId="0" applyFont="1"/>
    <xf numFmtId="0" fontId="1" fillId="0" borderId="0" xfId="0" applyFont="1" applyAlignment="1">
      <alignment horizontal="right"/>
    </xf>
    <xf numFmtId="0" fontId="1" fillId="0" borderId="0" xfId="0" applyFont="1"/>
    <xf numFmtId="0" fontId="5" fillId="0" borderId="0" xfId="0" applyFont="1"/>
    <xf numFmtId="0" fontId="5" fillId="0" borderId="0" xfId="0" applyFont="1" applyAlignment="1">
      <alignment vertical="center"/>
    </xf>
    <xf numFmtId="0" fontId="1" fillId="0" borderId="0" xfId="0" applyFont="1" applyAlignment="1">
      <alignment horizontal="center"/>
    </xf>
    <xf numFmtId="0" fontId="1" fillId="0" borderId="0" xfId="0" applyFont="1" applyAlignment="1">
      <alignment horizontal="left"/>
    </xf>
    <xf numFmtId="0" fontId="2" fillId="0" borderId="0" xfId="0" applyFont="1"/>
    <xf numFmtId="0" fontId="0" fillId="2" borderId="0" xfId="0" applyFill="1"/>
    <xf numFmtId="0" fontId="0" fillId="3" borderId="0" xfId="0" applyFill="1"/>
    <xf numFmtId="0" fontId="0" fillId="4" borderId="0" xfId="0" applyFill="1"/>
    <xf numFmtId="0" fontId="0" fillId="0" borderId="1" xfId="0" applyBorder="1"/>
    <xf numFmtId="0" fontId="0" fillId="4" borderId="1" xfId="0" applyFill="1" applyBorder="1"/>
    <xf numFmtId="0" fontId="0" fillId="4" borderId="1" xfId="0" applyFill="1" applyBorder="1" applyAlignment="1">
      <alignment horizontal="center"/>
    </xf>
    <xf numFmtId="0" fontId="0" fillId="0" borderId="1" xfId="0" applyBorder="1" applyAlignment="1">
      <alignment horizontal="center"/>
    </xf>
    <xf numFmtId="0" fontId="0" fillId="0" borderId="0" xfId="0" applyAlignment="1">
      <alignment vertical="top"/>
    </xf>
    <xf numFmtId="0" fontId="0" fillId="0" borderId="0" xfId="0" applyFill="1" applyBorder="1" applyAlignment="1">
      <alignment horizontal="right"/>
    </xf>
    <xf numFmtId="0" fontId="7" fillId="0" borderId="0" xfId="0" applyFont="1"/>
    <xf numFmtId="0" fontId="7" fillId="0" borderId="0" xfId="0" quotePrefix="1" applyFont="1"/>
    <xf numFmtId="0" fontId="0" fillId="0" borderId="0" xfId="0" applyFill="1"/>
    <xf numFmtId="0" fontId="0" fillId="5" borderId="0" xfId="0" applyFill="1"/>
    <xf numFmtId="0" fontId="0" fillId="6" borderId="0" xfId="0" applyFill="1"/>
    <xf numFmtId="0" fontId="0" fillId="7" borderId="0" xfId="0" applyFill="1"/>
    <xf numFmtId="14" fontId="0" fillId="0" borderId="0" xfId="0" applyNumberFormat="1" applyAlignment="1">
      <alignment wrapText="1"/>
    </xf>
    <xf numFmtId="14" fontId="0" fillId="0" borderId="0" xfId="0" applyNumberFormat="1" applyAlignment="1">
      <alignment horizontal="left" vertical="top" wrapText="1"/>
    </xf>
    <xf numFmtId="0" fontId="8" fillId="0" borderId="0" xfId="0" applyFont="1"/>
    <xf numFmtId="14" fontId="0" fillId="0" borderId="0" xfId="0" applyNumberFormat="1" applyAlignment="1">
      <alignment horizontal="left" vertical="top" wrapText="1"/>
    </xf>
    <xf numFmtId="0" fontId="0" fillId="0" borderId="0" xfId="0" quotePrefix="1" applyAlignment="1">
      <alignment wrapText="1"/>
    </xf>
    <xf numFmtId="0" fontId="0" fillId="0" borderId="0" xfId="0" applyAlignment="1">
      <alignment vertical="top" wrapText="1"/>
    </xf>
    <xf numFmtId="14" fontId="0" fillId="0" borderId="0" xfId="0" applyNumberFormat="1" applyAlignment="1">
      <alignment vertical="top" wrapText="1"/>
    </xf>
    <xf numFmtId="164" fontId="0" fillId="0" borderId="0" xfId="0" applyNumberFormat="1"/>
    <xf numFmtId="0" fontId="0" fillId="0" borderId="0" xfId="0" applyAlignment="1">
      <alignment horizontal="left" wrapText="1"/>
    </xf>
    <xf numFmtId="14"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horizontal="center"/>
    </xf>
    <xf numFmtId="0" fontId="0" fillId="0" borderId="0" xfId="0" applyAlignment="1">
      <alignment horizontal="center" vertical="center"/>
    </xf>
  </cellXfs>
  <cellStyles count="1">
    <cellStyle name="Standard" xfId="0" builtinId="0"/>
  </cellStyles>
  <dxfs count="0"/>
  <tableStyles count="0" defaultTableStyle="TableStyleMedium2" defaultPivotStyle="PivotStyleLight16"/>
  <colors>
    <mruColors>
      <color rgb="FFAC75D5"/>
      <color rgb="FF9F5FC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152400</xdr:colOff>
          <xdr:row>3</xdr:row>
          <xdr:rowOff>257175</xdr:rowOff>
        </xdr:from>
        <xdr:to>
          <xdr:col>7</xdr:col>
          <xdr:colOff>504825</xdr:colOff>
          <xdr:row>3</xdr:row>
          <xdr:rowOff>695325</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CH" sz="1100" b="0" i="0" u="none" strike="noStrike" baseline="0">
                  <a:solidFill>
                    <a:srgbClr val="000000"/>
                  </a:solidFill>
                  <a:latin typeface="Calibri"/>
                  <a:cs typeface="Calibri"/>
                </a:rPr>
                <a:t>Würfeln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15</xdr:col>
      <xdr:colOff>47625</xdr:colOff>
      <xdr:row>1</xdr:row>
      <xdr:rowOff>38100</xdr:rowOff>
    </xdr:from>
    <xdr:to>
      <xdr:col>20</xdr:col>
      <xdr:colOff>170958</xdr:colOff>
      <xdr:row>15</xdr:row>
      <xdr:rowOff>133005</xdr:rowOff>
    </xdr:to>
    <xdr:pic>
      <xdr:nvPicPr>
        <xdr:cNvPr id="2" name="Grafik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1477625" y="228600"/>
          <a:ext cx="3933333" cy="2761905"/>
        </a:xfrm>
        <a:prstGeom prst="rect">
          <a:avLst/>
        </a:prstGeom>
      </xdr:spPr>
    </xdr:pic>
    <xdr:clientData/>
  </xdr:twoCellAnchor>
  <xdr:twoCellAnchor editAs="oneCell">
    <xdr:from>
      <xdr:col>15</xdr:col>
      <xdr:colOff>66674</xdr:colOff>
      <xdr:row>16</xdr:row>
      <xdr:rowOff>57149</xdr:rowOff>
    </xdr:from>
    <xdr:to>
      <xdr:col>23</xdr:col>
      <xdr:colOff>23185</xdr:colOff>
      <xdr:row>35</xdr:row>
      <xdr:rowOff>123824</xdr:rowOff>
    </xdr:to>
    <xdr:pic>
      <xdr:nvPicPr>
        <xdr:cNvPr id="3" name="Grafik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11496674" y="3105149"/>
          <a:ext cx="6052511" cy="36861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urus Pally" id="{D52E50A6-99E9-4E59-BEA3-1FB4D0F9DF05}" userId="ae2dbe4e96ae670b" providerId="Windows Live"/>
</personList>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15" dT="2020-04-27T20:16:20.34" personId="{D52E50A6-99E9-4E59-BEA3-1FB4D0F9DF05}" id="{65BCD68A-EDE6-4A99-9971-6DEDC8EEA508}">
    <text>While holding the staff, you have a +1 bonus to AC</text>
  </threadedComment>
  <threadedComment ref="K15" dT="2020-04-27T20:17:52.59" personId="{D52E50A6-99E9-4E59-BEA3-1FB4D0F9DF05}" id="{F5EAC7B7-C452-4CCA-9FC5-2A86D6B8E861}" parentId="{65BCD68A-EDE6-4A99-9971-6DEDC8EEA508}">
    <text>The Staff has 10 Charges, which are used to fuel the spells within it. With the staff in hand, you can use your action to cast one of the following spells from the staff if the spell is on your class's spell list: mage armor (1 charge) or shield (2 charges). No components are required</text>
  </threadedComment>
  <threadedComment ref="K15" dT="2020-04-27T20:18:42.53" personId="{D52E50A6-99E9-4E59-BEA3-1FB4D0F9DF05}" id="{2EE918B8-4980-4703-A701-D8CC30730D60}" parentId="{65BCD68A-EDE6-4A99-9971-6DEDC8EEA508}">
    <text>the staff regains 1d6+4 expended charges each day at dawn. If you expend the stafff's last charge, roll a d20. On a 1, the staff shatters and is destroyed</text>
  </threadedComment>
</ThreadedComments>
</file>

<file path=xl/threadedComments/threadedComment2.xml><?xml version="1.0" encoding="utf-8"?>
<ThreadedComments xmlns="http://schemas.microsoft.com/office/spreadsheetml/2018/threadedcomments" xmlns:x="http://schemas.openxmlformats.org/spreadsheetml/2006/main">
  <threadedComment ref="D4" dT="2020-10-19T17:50:28.76" personId="{D52E50A6-99E9-4E59-BEA3-1FB4D0F9DF05}" id="{FF0E464B-F91A-4DAE-A2A3-0AF1124FA2C1}">
    <text>dank Stab +1, mit Mage Armour 13+2, mit Shield +5</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BDCF9-8236-4261-A8FF-BDA598F61452}">
  <sheetPr codeName="Tabelle1"/>
  <dimension ref="A2:W75"/>
  <sheetViews>
    <sheetView tabSelected="1" topLeftCell="B26" zoomScale="118" workbookViewId="0">
      <selection activeCell="E34" sqref="E34"/>
    </sheetView>
  </sheetViews>
  <sheetFormatPr baseColWidth="10" defaultRowHeight="15" x14ac:dyDescent="0.25"/>
  <cols>
    <col min="1" max="1" width="6.140625" hidden="1" customWidth="1"/>
    <col min="2" max="2" width="6.140625" customWidth="1"/>
    <col min="3" max="3" width="24.85546875" bestFit="1" customWidth="1"/>
    <col min="4" max="4" width="8.85546875" customWidth="1"/>
    <col min="5" max="5" width="67.85546875" customWidth="1"/>
    <col min="7" max="7" width="11.42578125" customWidth="1"/>
    <col min="8" max="8" width="12.140625" customWidth="1"/>
    <col min="10" max="10" width="20" customWidth="1"/>
    <col min="11" max="17" width="5" customWidth="1"/>
    <col min="18" max="19" width="4.42578125" customWidth="1"/>
    <col min="20" max="21" width="4.7109375" customWidth="1"/>
    <col min="22" max="22" width="3.42578125" customWidth="1"/>
  </cols>
  <sheetData>
    <row r="2" spans="2:23" hidden="1" x14ac:dyDescent="0.25">
      <c r="E2" s="16">
        <v>2</v>
      </c>
      <c r="F2" s="16">
        <v>3</v>
      </c>
      <c r="G2" s="16">
        <v>4</v>
      </c>
      <c r="H2" s="16">
        <v>5</v>
      </c>
      <c r="I2" s="16">
        <v>6</v>
      </c>
      <c r="J2" s="16">
        <v>7</v>
      </c>
      <c r="K2" s="12">
        <v>0</v>
      </c>
      <c r="L2" s="12">
        <v>1</v>
      </c>
      <c r="M2" s="12">
        <v>2</v>
      </c>
    </row>
    <row r="3" spans="2:23" x14ac:dyDescent="0.25">
      <c r="C3" s="11" t="s">
        <v>59</v>
      </c>
      <c r="D3" s="11" t="s">
        <v>63</v>
      </c>
      <c r="E3" s="2" t="s">
        <v>1</v>
      </c>
      <c r="F3" s="5" t="s">
        <v>6</v>
      </c>
      <c r="G3" s="5" t="s">
        <v>56</v>
      </c>
      <c r="H3" s="5" t="s">
        <v>7</v>
      </c>
      <c r="I3" s="5" t="s">
        <v>9</v>
      </c>
      <c r="J3" s="5" t="s">
        <v>8</v>
      </c>
      <c r="K3" s="13" t="s">
        <v>66</v>
      </c>
      <c r="L3" s="13" t="s">
        <v>67</v>
      </c>
      <c r="M3" s="13" t="s">
        <v>68</v>
      </c>
    </row>
    <row r="4" spans="2:23" ht="194.25" customHeight="1" x14ac:dyDescent="0.25">
      <c r="C4" s="14" t="s">
        <v>35</v>
      </c>
      <c r="D4" s="11">
        <v>2</v>
      </c>
      <c r="E4" s="2" t="str">
        <f>VLOOKUP($C$4,Spells!$C$4:$U$45,GUI!E2,0)</f>
        <v xml:space="preserve">You create three glowing darts of magical force. Each dart hits a creature of your choice that you can see within range. A dart deals 1d4+1 force damage to its target. The darts all strike simultaneously and you can direct them to hit one creature or several.
At Higher Levels: When you cast this spell using a spell slot of 2nd Level or higher, the spell creates one more dart for each slot above 1st. </v>
      </c>
      <c r="F4" s="2" t="str">
        <f>VLOOKUP($C$4,Spells!$C$4:$U$45,GUI!F2,0)</f>
        <v>120 feet</v>
      </c>
      <c r="G4" s="2" t="str">
        <f>VLOOKUP($C$4,Spells!$C$4:$U$45,GUI!G2,0)</f>
        <v>self</v>
      </c>
      <c r="H4" s="2" t="str">
        <f>VLOOKUP($C$4,Spells!$C$4:$U$45,GUI!H2,0)</f>
        <v>Instantaneous</v>
      </c>
      <c r="I4" s="2" t="str">
        <f>VLOOKUP($C$4,Spells!$C$4:$U$45,GUI!I2,0)</f>
        <v>1 Action</v>
      </c>
      <c r="J4" s="2" t="str">
        <f>VLOOKUP($C$4,Spells!$C$4:$U$45,GUI!J2,0)</f>
        <v>Verbal
Symbolic</v>
      </c>
      <c r="K4" s="12">
        <f>IF($D$4="cantrip",VLOOKUP($C$4,Spells!$C$4:$U$45,8+K2,0),IF($D$4=1,VLOOKUP($C$4,Spells!$C$4:$U$45,11+K2,0),IF($D$4=2,VLOOKUP($C$4,Spells!$C$4:$U$45,14+K2,0),IF($D$4=3,VLOOKUP($C$4,Spells!$C$4:$U$45,17+K2,0),""))))</f>
        <v>4</v>
      </c>
      <c r="L4" s="12">
        <f>IF($D$4="cantrip",VLOOKUP($C$4,Spells!$C$4:$U$45,8+L2,0),IF($D$4=1,VLOOKUP($C$4,Spells!$C$4:$U$45,11+L2,0),IF($D$4=2,VLOOKUP($C$4,Spells!$C$4:$U$45,14+L2,0),IF($D$4=3,VLOOKUP($C$4,Spells!$C$4:$U$45,17+L2,0),""))))</f>
        <v>4</v>
      </c>
      <c r="M4" s="12">
        <f>IF($D$4="cantrip",VLOOKUP($C$4,Spells!$C$4:$U$45,8+M2,0),IF($D$4=1,VLOOKUP($C$4,Spells!$C$4:$U$45,11+M2,0),IF($D$4=2,VLOOKUP($C$4,Spells!$C$4:$U$45,14+M2,0),IF($D$4=3,VLOOKUP($C$4,Spells!$C$4:$U$45,17+M2,0),""))))</f>
        <v>4</v>
      </c>
    </row>
    <row r="5" spans="2:23" x14ac:dyDescent="0.25">
      <c r="C5" s="1" t="s">
        <v>69</v>
      </c>
      <c r="D5" t="s">
        <v>71</v>
      </c>
      <c r="K5" s="8" t="s">
        <v>136</v>
      </c>
      <c r="L5" s="21"/>
      <c r="M5" s="21"/>
      <c r="N5" s="21"/>
    </row>
    <row r="6" spans="2:23" x14ac:dyDescent="0.25">
      <c r="B6">
        <f>IF(D6="Ja",Würfel!K6,"")</f>
        <v>3</v>
      </c>
      <c r="C6" s="1" t="s">
        <v>74</v>
      </c>
      <c r="D6" t="s">
        <v>75</v>
      </c>
      <c r="E6" s="10" t="str">
        <f>IF(G4="ranged","Spell Save DC Ranged",IF(G4="AOE","DC Dex Saving Throw",""))</f>
        <v/>
      </c>
      <c r="F6" s="15" t="str">
        <f>IF(E6="DC Dex Saving Throw",8+Character!C4+Character!E4,IF(E6="Spell Save DC Ranged",VLOOKUP(D5,Würfel!P2:Q4,2,0)+Character!C4+Character!E4+IF(D6="Ja",Würfel!K6,0),""))</f>
        <v/>
      </c>
      <c r="G6" s="43" t="str">
        <f>IF(E6="Spell Save DC Ranged","Würfel =",IF(AND(E6="Spell Save DC Ranged",D6="Ja"),"Bless Würfel (D4) = "&amp;Würfel!K6,""))</f>
        <v/>
      </c>
      <c r="H6" s="43"/>
      <c r="I6" t="str">
        <f>IF(E6="Spell Save DC Ranged",IF(D5="normal",Würfel!J11,Würfel!J11&amp;" / "&amp;Würfel!K11),"")</f>
        <v/>
      </c>
      <c r="K6" s="8" t="s">
        <v>137</v>
      </c>
      <c r="L6" s="21"/>
      <c r="M6" s="21"/>
      <c r="N6" s="21"/>
    </row>
    <row r="7" spans="2:23" hidden="1" x14ac:dyDescent="0.25">
      <c r="E7" s="10" t="str">
        <f>IF(G4="ranged","Spell Save DC Ranged",IF(G4="AOE","DC Dex Saving Throw",""))</f>
        <v/>
      </c>
      <c r="F7" s="15" t="str">
        <f>IF(E7="Spell Save DC Ranged",8+Character!C4+Character!E4+IF(D6="Ja",Würfel!K6,0),IF(E7="DC Dex Saving Throw",VLOOKUP(D5,Würfel!P2:Q4,2,0)+Character!C4+Character!E4,""))</f>
        <v/>
      </c>
      <c r="G7" s="3" t="str">
        <f>IF(E7="DC Dex Saving Throw","Würfel =",IF(AND(E7="Spell Save DC Ranged",D6="Ja"),"Bless Würfel (D4) = "&amp;Würfel!K6,""))</f>
        <v/>
      </c>
      <c r="H7" s="3" t="str">
        <f>IF(E7="DC Dex Saving Throw",IF(D5="normal",Würfel!J11,Würfel!J11&amp;" / "&amp;Würfel!K11),"")</f>
        <v/>
      </c>
    </row>
    <row r="8" spans="2:23" ht="7.5" hidden="1" customHeight="1" x14ac:dyDescent="0.25"/>
    <row r="9" spans="2:23" ht="7.5" customHeight="1" x14ac:dyDescent="0.25"/>
    <row r="10" spans="2:23" x14ac:dyDescent="0.25">
      <c r="C10" s="10" t="s">
        <v>64</v>
      </c>
      <c r="D10" s="11">
        <f>SUM(D11:D18)</f>
        <v>16</v>
      </c>
      <c r="E10" s="8" t="s">
        <v>77</v>
      </c>
      <c r="F10">
        <f>Würfel!H11</f>
        <v>12</v>
      </c>
      <c r="H10" s="30" t="s">
        <v>130</v>
      </c>
      <c r="K10" s="20" t="s">
        <v>88</v>
      </c>
      <c r="L10" s="22" t="s">
        <v>141</v>
      </c>
      <c r="M10" s="22" t="s">
        <v>141</v>
      </c>
      <c r="N10" s="22"/>
      <c r="O10" s="22"/>
      <c r="P10" s="23"/>
      <c r="Q10" s="23"/>
    </row>
    <row r="11" spans="2:23" x14ac:dyDescent="0.25">
      <c r="C11" s="8" t="s">
        <v>65</v>
      </c>
      <c r="D11">
        <f>M4</f>
        <v>4</v>
      </c>
      <c r="E11" s="8" t="s">
        <v>77</v>
      </c>
      <c r="F11">
        <f>Würfel!J11</f>
        <v>11</v>
      </c>
      <c r="H11" s="31" t="s">
        <v>131</v>
      </c>
      <c r="K11" s="20" t="s">
        <v>89</v>
      </c>
      <c r="L11" s="22" t="s">
        <v>141</v>
      </c>
      <c r="M11" s="22" t="s">
        <v>141</v>
      </c>
      <c r="N11" s="22"/>
      <c r="O11" s="23"/>
      <c r="P11" s="23"/>
      <c r="Q11" s="23"/>
    </row>
    <row r="12" spans="2:23" x14ac:dyDescent="0.25">
      <c r="B12" s="9">
        <v>0</v>
      </c>
      <c r="C12" s="8" t="str">
        <f>IF($K$4&gt;B12,"Würfel"&amp;1+B12&amp;" (D"&amp;$L$4&amp;")","")</f>
        <v>Würfel1 (D4)</v>
      </c>
      <c r="D12">
        <f>IF(C12="","",VLOOKUP($L$4,Würfel!$D$6:$K$11,GUI!B12+2,0))</f>
        <v>2</v>
      </c>
      <c r="H12" s="29" t="s">
        <v>114</v>
      </c>
      <c r="K12" s="20" t="s">
        <v>90</v>
      </c>
      <c r="L12" s="23"/>
      <c r="M12" s="23"/>
      <c r="N12" s="23"/>
      <c r="O12" s="23"/>
      <c r="P12" s="23"/>
      <c r="Q12" s="23"/>
    </row>
    <row r="13" spans="2:23" x14ac:dyDescent="0.25">
      <c r="B13" s="9">
        <v>1</v>
      </c>
      <c r="C13" s="8" t="str">
        <f t="shared" ref="C13:C18" si="0">IF($K$4&gt;B13,"Würfel"&amp;1+B13&amp;" (D"&amp;$L$4&amp;")","")</f>
        <v>Würfel2 (D4)</v>
      </c>
      <c r="D13">
        <f>IF(C13="","",VLOOKUP($L$4,Würfel!$D$6:$K$11,GUI!B13+2,0))</f>
        <v>3</v>
      </c>
      <c r="H13" s="17" t="s">
        <v>78</v>
      </c>
      <c r="K13" s="25" t="s">
        <v>99</v>
      </c>
      <c r="L13" s="21"/>
      <c r="M13" s="21"/>
      <c r="N13" s="21"/>
      <c r="O13" s="21"/>
      <c r="P13" s="20"/>
      <c r="Q13" s="20"/>
    </row>
    <row r="14" spans="2:23" x14ac:dyDescent="0.25">
      <c r="B14" s="9">
        <v>2</v>
      </c>
      <c r="C14" s="8" t="str">
        <f t="shared" si="0"/>
        <v>Würfel3 (D4)</v>
      </c>
      <c r="D14">
        <f>IF(C14="","",VLOOKUP($L$4,Würfel!$D$6:$K$11,GUI!B14+2,0))</f>
        <v>4</v>
      </c>
      <c r="H14" s="18" t="s">
        <v>79</v>
      </c>
      <c r="K14" s="25" t="s">
        <v>47</v>
      </c>
      <c r="L14" s="19"/>
      <c r="M14" s="19"/>
      <c r="N14" s="19"/>
      <c r="O14" s="19"/>
      <c r="P14" s="19"/>
      <c r="Q14" s="19"/>
      <c r="R14" s="19"/>
      <c r="S14" s="19"/>
      <c r="T14" s="19"/>
      <c r="U14" s="19"/>
    </row>
    <row r="15" spans="2:23" x14ac:dyDescent="0.25">
      <c r="B15" s="9">
        <v>3</v>
      </c>
      <c r="C15" s="8" t="str">
        <f t="shared" si="0"/>
        <v>Würfel4 (D4)</v>
      </c>
      <c r="D15">
        <f>IF(C15="","",VLOOKUP($L$4,Würfel!$D$6:$K$11,GUI!B15+2,0))</f>
        <v>3</v>
      </c>
      <c r="K15" s="25" t="s">
        <v>129</v>
      </c>
      <c r="L15" s="19" t="s">
        <v>142</v>
      </c>
      <c r="M15" s="19" t="s">
        <v>141</v>
      </c>
      <c r="N15" s="19" t="s">
        <v>141</v>
      </c>
      <c r="O15" s="19" t="s">
        <v>141</v>
      </c>
      <c r="P15" s="19" t="s">
        <v>141</v>
      </c>
      <c r="Q15" s="19" t="s">
        <v>141</v>
      </c>
      <c r="R15" s="19" t="s">
        <v>141</v>
      </c>
      <c r="S15" s="19"/>
      <c r="T15" s="19"/>
      <c r="U15" s="19"/>
      <c r="V15" t="s">
        <v>61</v>
      </c>
      <c r="W15">
        <f>13+2+1</f>
        <v>16</v>
      </c>
    </row>
    <row r="16" spans="2:23" x14ac:dyDescent="0.25">
      <c r="B16" s="9">
        <v>4</v>
      </c>
      <c r="C16" s="8" t="str">
        <f t="shared" si="0"/>
        <v/>
      </c>
      <c r="D16" t="str">
        <f>IF(C16="","",VLOOKUP($L$4,Würfel!$D$6:$K$11,GUI!B16+2,0))</f>
        <v/>
      </c>
      <c r="F16" t="s">
        <v>80</v>
      </c>
    </row>
    <row r="17" spans="2:18" x14ac:dyDescent="0.25">
      <c r="B17" s="9">
        <v>5</v>
      </c>
      <c r="C17" s="8" t="str">
        <f t="shared" si="0"/>
        <v/>
      </c>
      <c r="D17" t="str">
        <f>IF(C17="","",VLOOKUP($L$4,Würfel!$D$6:$K$11,GUI!B17+2,0))</f>
        <v/>
      </c>
      <c r="F17">
        <v>19.149999999999999</v>
      </c>
      <c r="G17">
        <f>SUM(I17:S17)</f>
        <v>-14</v>
      </c>
      <c r="H17" s="28" t="s">
        <v>81</v>
      </c>
      <c r="I17">
        <v>-5</v>
      </c>
      <c r="J17">
        <v>-9</v>
      </c>
    </row>
    <row r="18" spans="2:18" x14ac:dyDescent="0.25">
      <c r="B18" s="9">
        <v>6</v>
      </c>
      <c r="C18" s="8" t="str">
        <f t="shared" si="0"/>
        <v/>
      </c>
      <c r="D18" t="str">
        <f>IF(C18="","",VLOOKUP($L$4,Würfel!$D$6:$K$11,GUI!B18+2,0))</f>
        <v/>
      </c>
      <c r="F18">
        <v>16</v>
      </c>
      <c r="G18">
        <f>SUM(I18:S18)</f>
        <v>0</v>
      </c>
      <c r="H18" s="28" t="s">
        <v>146</v>
      </c>
      <c r="I18" s="28"/>
    </row>
    <row r="19" spans="2:18" x14ac:dyDescent="0.25">
      <c r="B19" s="9"/>
      <c r="E19" s="8"/>
      <c r="F19">
        <v>15.14</v>
      </c>
      <c r="G19">
        <f>SUM(I19:S19)+27+0*4+(0/4)*4</f>
        <v>11</v>
      </c>
      <c r="H19" s="28" t="s">
        <v>83</v>
      </c>
      <c r="I19" s="28">
        <v>10</v>
      </c>
      <c r="J19">
        <f>-26-8-13+21</f>
        <v>-26</v>
      </c>
      <c r="R19" s="39"/>
    </row>
    <row r="20" spans="2:18" x14ac:dyDescent="0.25">
      <c r="E20" s="8"/>
      <c r="F20">
        <v>14</v>
      </c>
      <c r="G20">
        <f t="shared" ref="G20:G25" si="1">SUM(I20:S20)</f>
        <v>0</v>
      </c>
      <c r="H20" s="28" t="s">
        <v>143</v>
      </c>
    </row>
    <row r="21" spans="2:18" x14ac:dyDescent="0.25">
      <c r="E21" s="8"/>
      <c r="F21">
        <v>13</v>
      </c>
      <c r="G21">
        <f t="shared" si="1"/>
        <v>-7</v>
      </c>
      <c r="H21" s="28" t="s">
        <v>157</v>
      </c>
      <c r="I21">
        <v>-7</v>
      </c>
    </row>
    <row r="22" spans="2:18" x14ac:dyDescent="0.25">
      <c r="F22">
        <v>12</v>
      </c>
      <c r="G22">
        <f t="shared" si="1"/>
        <v>-24</v>
      </c>
      <c r="H22" s="28" t="s">
        <v>158</v>
      </c>
      <c r="I22">
        <f t="shared" ref="I22:I23" si="2">(8+16)/-2</f>
        <v>-12</v>
      </c>
      <c r="J22">
        <v>-4</v>
      </c>
      <c r="K22">
        <v>-8</v>
      </c>
    </row>
    <row r="23" spans="2:18" x14ac:dyDescent="0.25">
      <c r="F23">
        <v>11.5</v>
      </c>
      <c r="G23">
        <f t="shared" si="1"/>
        <v>-12</v>
      </c>
      <c r="H23" s="30" t="s">
        <v>159</v>
      </c>
      <c r="I23">
        <f t="shared" si="2"/>
        <v>-12</v>
      </c>
    </row>
    <row r="24" spans="2:18" x14ac:dyDescent="0.25">
      <c r="F24">
        <v>11.4</v>
      </c>
      <c r="G24">
        <f t="shared" si="1"/>
        <v>0</v>
      </c>
      <c r="H24" s="28" t="s">
        <v>144</v>
      </c>
    </row>
    <row r="25" spans="2:18" x14ac:dyDescent="0.25">
      <c r="F25">
        <v>11.3</v>
      </c>
      <c r="G25">
        <f t="shared" si="1"/>
        <v>0</v>
      </c>
      <c r="H25" s="28" t="s">
        <v>145</v>
      </c>
    </row>
    <row r="26" spans="2:18" x14ac:dyDescent="0.25">
      <c r="F26">
        <v>11.14</v>
      </c>
      <c r="G26">
        <f>59-17+SUM(I26:S26)</f>
        <v>42</v>
      </c>
      <c r="H26" s="28" t="s">
        <v>85</v>
      </c>
      <c r="I26" s="28"/>
    </row>
    <row r="27" spans="2:18" x14ac:dyDescent="0.25">
      <c r="F27">
        <v>0.09</v>
      </c>
      <c r="G27">
        <f>SUM(I27:S27)</f>
        <v>0</v>
      </c>
      <c r="H27" s="30" t="s">
        <v>82</v>
      </c>
    </row>
    <row r="28" spans="2:18" x14ac:dyDescent="0.25">
      <c r="F28">
        <v>0.08</v>
      </c>
      <c r="G28">
        <f>39+SUM(I28:S28)</f>
        <v>39</v>
      </c>
      <c r="H28" s="29" t="s">
        <v>84</v>
      </c>
    </row>
    <row r="29" spans="2:18" x14ac:dyDescent="0.25">
      <c r="F29">
        <v>0</v>
      </c>
      <c r="G29">
        <f>SUM(I29:S29)</f>
        <v>0</v>
      </c>
      <c r="H29" s="28" t="s">
        <v>135</v>
      </c>
      <c r="L29" s="28"/>
    </row>
    <row r="30" spans="2:18" x14ac:dyDescent="0.25">
      <c r="F30">
        <v>0</v>
      </c>
      <c r="G30">
        <f>SUM(I30:S30)</f>
        <v>0</v>
      </c>
      <c r="H30" s="28" t="s">
        <v>135</v>
      </c>
    </row>
    <row r="31" spans="2:18" x14ac:dyDescent="0.25">
      <c r="F31">
        <v>0</v>
      </c>
      <c r="G31">
        <f>SUM(I31:S31)</f>
        <v>0</v>
      </c>
      <c r="H31" s="28" t="s">
        <v>135</v>
      </c>
    </row>
    <row r="32" spans="2:18" x14ac:dyDescent="0.25">
      <c r="H32" s="28"/>
    </row>
    <row r="33" spans="5:8" ht="120" x14ac:dyDescent="0.25">
      <c r="E33" s="2" t="s">
        <v>167</v>
      </c>
      <c r="H33" s="28"/>
    </row>
    <row r="34" spans="5:8" ht="255" x14ac:dyDescent="0.25">
      <c r="E34" s="2" t="s">
        <v>165</v>
      </c>
      <c r="H34" s="28"/>
    </row>
    <row r="35" spans="5:8" ht="75" x14ac:dyDescent="0.25">
      <c r="E35" s="2" t="s">
        <v>162</v>
      </c>
      <c r="H35" s="28"/>
    </row>
    <row r="36" spans="5:8" ht="120" x14ac:dyDescent="0.25">
      <c r="E36" s="32" t="s">
        <v>161</v>
      </c>
      <c r="H36" s="28"/>
    </row>
    <row r="37" spans="5:8" ht="210" x14ac:dyDescent="0.25">
      <c r="E37" s="2" t="s">
        <v>160</v>
      </c>
      <c r="H37" s="28"/>
    </row>
    <row r="38" spans="5:8" ht="105" x14ac:dyDescent="0.25">
      <c r="E38" s="32" t="s">
        <v>149</v>
      </c>
      <c r="H38" s="28"/>
    </row>
    <row r="39" spans="5:8" ht="60" x14ac:dyDescent="0.25">
      <c r="E39" s="36" t="s">
        <v>150</v>
      </c>
      <c r="H39" s="28"/>
    </row>
    <row r="40" spans="5:8" ht="90" x14ac:dyDescent="0.25">
      <c r="E40" s="2" t="s">
        <v>151</v>
      </c>
      <c r="H40" s="28"/>
    </row>
    <row r="41" spans="5:8" ht="60" x14ac:dyDescent="0.25">
      <c r="E41" s="2" t="s">
        <v>152</v>
      </c>
      <c r="H41" s="28"/>
    </row>
    <row r="42" spans="5:8" ht="195" x14ac:dyDescent="0.25">
      <c r="E42" s="37" t="s">
        <v>153</v>
      </c>
      <c r="H42" s="28"/>
    </row>
    <row r="43" spans="5:8" ht="105" x14ac:dyDescent="0.25">
      <c r="E43" s="38" t="s">
        <v>154</v>
      </c>
      <c r="H43" s="28"/>
    </row>
    <row r="44" spans="5:8" ht="60" x14ac:dyDescent="0.25">
      <c r="E44" s="2" t="s">
        <v>155</v>
      </c>
      <c r="H44" s="28"/>
    </row>
    <row r="45" spans="5:8" x14ac:dyDescent="0.25">
      <c r="E45" s="2"/>
      <c r="H45" s="28"/>
    </row>
    <row r="46" spans="5:8" x14ac:dyDescent="0.25">
      <c r="E46" s="2"/>
      <c r="H46" s="28"/>
    </row>
    <row r="47" spans="5:8" x14ac:dyDescent="0.25">
      <c r="E47" s="32"/>
      <c r="H47" s="28"/>
    </row>
    <row r="48" spans="5:8" ht="105" x14ac:dyDescent="0.25">
      <c r="E48" s="35" t="s">
        <v>156</v>
      </c>
      <c r="H48" s="28"/>
    </row>
    <row r="49" spans="5:8" x14ac:dyDescent="0.25">
      <c r="H49" s="28"/>
    </row>
    <row r="50" spans="5:8" x14ac:dyDescent="0.25">
      <c r="H50" s="28"/>
    </row>
    <row r="51" spans="5:8" x14ac:dyDescent="0.25">
      <c r="H51" s="28"/>
    </row>
    <row r="52" spans="5:8" x14ac:dyDescent="0.25">
      <c r="H52" s="28"/>
    </row>
    <row r="53" spans="5:8" ht="145.5" customHeight="1" x14ac:dyDescent="0.25">
      <c r="E53" s="33" t="s">
        <v>147</v>
      </c>
      <c r="H53" s="28"/>
    </row>
    <row r="54" spans="5:8" ht="180" x14ac:dyDescent="0.25">
      <c r="E54" s="2" t="s">
        <v>140</v>
      </c>
      <c r="H54" s="28"/>
    </row>
    <row r="55" spans="5:8" ht="120" x14ac:dyDescent="0.25">
      <c r="E55" s="2" t="s">
        <v>139</v>
      </c>
      <c r="H55" s="28"/>
    </row>
    <row r="56" spans="5:8" ht="90" x14ac:dyDescent="0.25">
      <c r="E56" s="32" t="s">
        <v>138</v>
      </c>
    </row>
    <row r="57" spans="5:8" ht="220.5" customHeight="1" x14ac:dyDescent="0.25">
      <c r="E57" s="6" t="s">
        <v>134</v>
      </c>
    </row>
    <row r="58" spans="5:8" ht="127.5" customHeight="1" x14ac:dyDescent="0.25">
      <c r="E58" s="32" t="s">
        <v>132</v>
      </c>
    </row>
    <row r="59" spans="5:8" ht="180" x14ac:dyDescent="0.25">
      <c r="E59" s="2" t="s">
        <v>128</v>
      </c>
    </row>
    <row r="61" spans="5:8" ht="375" x14ac:dyDescent="0.25">
      <c r="E61" s="2" t="s">
        <v>126</v>
      </c>
    </row>
    <row r="63" spans="5:8" ht="210" customHeight="1" x14ac:dyDescent="0.25">
      <c r="E63" s="2" t="s">
        <v>121</v>
      </c>
    </row>
    <row r="65" spans="5:21" ht="165" x14ac:dyDescent="0.25">
      <c r="E65" s="2" t="s">
        <v>115</v>
      </c>
    </row>
    <row r="67" spans="5:21" x14ac:dyDescent="0.25">
      <c r="E67" s="41" t="s">
        <v>87</v>
      </c>
      <c r="F67" s="42"/>
      <c r="G67" s="42"/>
      <c r="H67" s="42"/>
      <c r="I67" s="42"/>
      <c r="J67" s="42"/>
      <c r="K67" s="42"/>
      <c r="L67" s="42"/>
      <c r="M67" s="42"/>
      <c r="N67" s="42"/>
      <c r="O67" s="42"/>
      <c r="P67" s="42"/>
      <c r="Q67" s="42"/>
      <c r="R67" s="42"/>
      <c r="S67" s="42"/>
      <c r="T67" s="42"/>
      <c r="U67" s="42"/>
    </row>
    <row r="68" spans="5:21" x14ac:dyDescent="0.25">
      <c r="E68" s="42"/>
      <c r="F68" s="42"/>
      <c r="G68" s="42"/>
      <c r="H68" s="42"/>
      <c r="I68" s="42"/>
      <c r="J68" s="42"/>
      <c r="K68" s="42"/>
      <c r="L68" s="42"/>
      <c r="M68" s="42"/>
      <c r="N68" s="42"/>
      <c r="O68" s="42"/>
      <c r="P68" s="42"/>
      <c r="Q68" s="42"/>
      <c r="R68" s="42"/>
      <c r="S68" s="42"/>
      <c r="T68" s="42"/>
      <c r="U68" s="42"/>
    </row>
    <row r="69" spans="5:21" x14ac:dyDescent="0.25">
      <c r="E69" s="42"/>
      <c r="F69" s="42"/>
      <c r="G69" s="42"/>
      <c r="H69" s="42"/>
      <c r="I69" s="42"/>
      <c r="J69" s="42"/>
      <c r="K69" s="42"/>
      <c r="L69" s="42"/>
      <c r="M69" s="42"/>
      <c r="N69" s="42"/>
      <c r="O69" s="42"/>
      <c r="P69" s="42"/>
      <c r="Q69" s="42"/>
      <c r="R69" s="42"/>
      <c r="S69" s="42"/>
      <c r="T69" s="42"/>
      <c r="U69" s="42"/>
    </row>
    <row r="70" spans="5:21" x14ac:dyDescent="0.25">
      <c r="E70" s="42"/>
      <c r="F70" s="42"/>
      <c r="G70" s="42"/>
      <c r="H70" s="42"/>
      <c r="I70" s="42"/>
      <c r="J70" s="42"/>
      <c r="K70" s="42"/>
      <c r="L70" s="42"/>
      <c r="M70" s="42"/>
      <c r="N70" s="42"/>
      <c r="O70" s="42"/>
      <c r="P70" s="42"/>
      <c r="Q70" s="42"/>
      <c r="R70" s="42"/>
      <c r="S70" s="42"/>
      <c r="T70" s="42"/>
      <c r="U70" s="42"/>
    </row>
    <row r="71" spans="5:21" x14ac:dyDescent="0.25">
      <c r="E71" s="42"/>
      <c r="F71" s="42"/>
      <c r="G71" s="42"/>
      <c r="H71" s="42"/>
      <c r="I71" s="42"/>
      <c r="J71" s="42"/>
      <c r="K71" s="42"/>
      <c r="L71" s="42"/>
      <c r="M71" s="42"/>
      <c r="N71" s="42"/>
      <c r="O71" s="42"/>
      <c r="P71" s="42"/>
      <c r="Q71" s="42"/>
      <c r="R71" s="42"/>
      <c r="S71" s="42"/>
      <c r="T71" s="42"/>
      <c r="U71" s="42"/>
    </row>
    <row r="72" spans="5:21" x14ac:dyDescent="0.25">
      <c r="E72" s="42"/>
      <c r="F72" s="42"/>
      <c r="G72" s="42"/>
      <c r="H72" s="42"/>
      <c r="I72" s="42"/>
      <c r="J72" s="42"/>
      <c r="K72" s="42"/>
      <c r="L72" s="42"/>
      <c r="M72" s="42"/>
      <c r="N72" s="42"/>
      <c r="O72" s="42"/>
      <c r="P72" s="42"/>
      <c r="Q72" s="42"/>
      <c r="R72" s="42"/>
      <c r="S72" s="42"/>
      <c r="T72" s="42"/>
      <c r="U72" s="42"/>
    </row>
    <row r="73" spans="5:21" x14ac:dyDescent="0.25">
      <c r="E73" s="42"/>
      <c r="F73" s="42"/>
      <c r="G73" s="42"/>
      <c r="H73" s="42"/>
      <c r="I73" s="42"/>
      <c r="J73" s="42"/>
      <c r="K73" s="42"/>
      <c r="L73" s="42"/>
      <c r="M73" s="42"/>
      <c r="N73" s="42"/>
      <c r="O73" s="42"/>
      <c r="P73" s="42"/>
      <c r="Q73" s="42"/>
      <c r="R73" s="42"/>
      <c r="S73" s="42"/>
      <c r="T73" s="42"/>
      <c r="U73" s="42"/>
    </row>
    <row r="75" spans="5:21" ht="66.75" customHeight="1" x14ac:dyDescent="0.25">
      <c r="E75" s="40" t="s">
        <v>86</v>
      </c>
      <c r="F75" s="40"/>
      <c r="G75" s="40"/>
      <c r="H75" s="40"/>
      <c r="I75" s="40"/>
      <c r="J75" s="40"/>
      <c r="K75" s="40"/>
      <c r="L75" s="40"/>
      <c r="M75" s="40"/>
      <c r="N75" s="40"/>
      <c r="O75" s="40"/>
      <c r="P75" s="40"/>
      <c r="Q75" s="40"/>
      <c r="R75" s="40"/>
      <c r="S75" s="40"/>
      <c r="T75" s="40"/>
      <c r="U75" s="40"/>
    </row>
  </sheetData>
  <autoFilter ref="F16:S31" xr:uid="{DED905D0-2AE3-4D4A-A58F-C626E6475201}">
    <sortState xmlns:xlrd2="http://schemas.microsoft.com/office/spreadsheetml/2017/richdata2" ref="F17:S31">
      <sortCondition descending="1" ref="F16:F31"/>
    </sortState>
  </autoFilter>
  <mergeCells count="3">
    <mergeCell ref="E75:U75"/>
    <mergeCell ref="E67:U73"/>
    <mergeCell ref="G6:H6"/>
  </mergeCells>
  <phoneticPr fontId="3" type="noConversion"/>
  <pageMargins left="0.7" right="0.7" top="0.78740157499999996" bottom="0.78740157499999996"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Zufallszahlen">
                <anchor moveWithCells="1" sizeWithCells="1">
                  <from>
                    <xdr:col>5</xdr:col>
                    <xdr:colOff>152400</xdr:colOff>
                    <xdr:row>3</xdr:row>
                    <xdr:rowOff>257175</xdr:rowOff>
                  </from>
                  <to>
                    <xdr:col>7</xdr:col>
                    <xdr:colOff>504825</xdr:colOff>
                    <xdr:row>3</xdr:row>
                    <xdr:rowOff>695325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1D95AFDF-01C8-4B75-B4EB-7CE78EEA15FD}">
          <x14:formula1>
            <xm:f>Würfel!$O$2:$O$5</xm:f>
          </x14:formula1>
          <xm:sqref>D4</xm:sqref>
        </x14:dataValidation>
        <x14:dataValidation type="list" allowBlank="1" showInputMessage="1" showErrorMessage="1" xr:uid="{757A9660-DE1B-4E2F-83ED-4DE980C0E5F7}">
          <x14:formula1>
            <xm:f>Würfel!$P$2:$P$4</xm:f>
          </x14:formula1>
          <xm:sqref>D5</xm:sqref>
        </x14:dataValidation>
        <x14:dataValidation type="list" allowBlank="1" showInputMessage="1" showErrorMessage="1" xr:uid="{69A8FC44-8035-45E7-BFDB-1F6B62F266B3}">
          <x14:formula1>
            <xm:f>Würfel!$T$1:$T$2</xm:f>
          </x14:formula1>
          <xm:sqref>D6</xm:sqref>
        </x14:dataValidation>
        <x14:dataValidation type="list" allowBlank="1" showInputMessage="1" showErrorMessage="1" xr:uid="{00CD72AE-BF22-46D8-9666-46F8D50C9F6C}">
          <x14:formula1>
            <xm:f>Spells!$C$4:$C$45</xm:f>
          </x14:formula1>
          <xm:sqref>C4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269BA-D147-48E2-9341-3FBB50AB3667}">
  <sheetPr codeName="Tabelle2"/>
  <dimension ref="B1:H19"/>
  <sheetViews>
    <sheetView zoomScale="97" workbookViewId="0">
      <selection activeCell="H11" sqref="H11"/>
    </sheetView>
  </sheetViews>
  <sheetFormatPr baseColWidth="10" defaultRowHeight="15" x14ac:dyDescent="0.25"/>
  <sheetData>
    <row r="1" spans="2:8" x14ac:dyDescent="0.25">
      <c r="C1" s="8" t="s">
        <v>133</v>
      </c>
      <c r="D1" s="3">
        <f>4140+1400/4+700/5+220+700/5+150+20+400</f>
        <v>5560</v>
      </c>
    </row>
    <row r="3" spans="2:8" x14ac:dyDescent="0.25">
      <c r="C3" t="s">
        <v>60</v>
      </c>
      <c r="D3" t="s">
        <v>61</v>
      </c>
      <c r="E3" t="s">
        <v>62</v>
      </c>
    </row>
    <row r="4" spans="2:8" x14ac:dyDescent="0.25">
      <c r="C4">
        <v>4</v>
      </c>
      <c r="D4">
        <v>12</v>
      </c>
      <c r="E4">
        <v>2</v>
      </c>
    </row>
    <row r="7" spans="2:8" x14ac:dyDescent="0.25">
      <c r="B7" s="11" t="s">
        <v>94</v>
      </c>
      <c r="C7" s="11"/>
      <c r="E7" s="11" t="s">
        <v>98</v>
      </c>
      <c r="H7" s="11" t="s">
        <v>93</v>
      </c>
    </row>
    <row r="8" spans="2:8" x14ac:dyDescent="0.25">
      <c r="B8" t="s">
        <v>95</v>
      </c>
      <c r="C8">
        <f>46+144-1-3-1-2-2+35</f>
        <v>216</v>
      </c>
      <c r="E8" t="s">
        <v>148</v>
      </c>
      <c r="H8" t="s">
        <v>163</v>
      </c>
    </row>
    <row r="9" spans="2:8" x14ac:dyDescent="0.25">
      <c r="B9" t="s">
        <v>96</v>
      </c>
      <c r="C9">
        <f>7+4-3-6+10-1</f>
        <v>11</v>
      </c>
      <c r="F9" s="3"/>
      <c r="H9" t="s">
        <v>164</v>
      </c>
    </row>
    <row r="10" spans="2:8" x14ac:dyDescent="0.25">
      <c r="B10" t="s">
        <v>97</v>
      </c>
      <c r="C10">
        <f>8-4+10</f>
        <v>14</v>
      </c>
      <c r="H10" t="s">
        <v>166</v>
      </c>
    </row>
    <row r="11" spans="2:8" x14ac:dyDescent="0.25">
      <c r="H11" s="26"/>
    </row>
    <row r="12" spans="2:8" x14ac:dyDescent="0.25">
      <c r="H12" s="26"/>
    </row>
    <row r="13" spans="2:8" x14ac:dyDescent="0.25">
      <c r="H13" s="26"/>
    </row>
    <row r="14" spans="2:8" x14ac:dyDescent="0.25">
      <c r="H14" s="26"/>
    </row>
    <row r="15" spans="2:8" x14ac:dyDescent="0.25">
      <c r="H15" s="26"/>
    </row>
    <row r="16" spans="2:8" x14ac:dyDescent="0.25">
      <c r="H16" s="27"/>
    </row>
    <row r="17" spans="8:8" x14ac:dyDescent="0.25">
      <c r="H17" s="26"/>
    </row>
    <row r="18" spans="8:8" x14ac:dyDescent="0.25">
      <c r="H18" s="34"/>
    </row>
    <row r="19" spans="8:8" x14ac:dyDescent="0.25">
      <c r="H19" s="26"/>
    </row>
  </sheetData>
  <pageMargins left="0.7" right="0.7" top="0.78740157499999996" bottom="0.78740157499999996"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7C9F9-9CF6-47D4-9BBF-ED387934CE53}">
  <dimension ref="B3:C3"/>
  <sheetViews>
    <sheetView workbookViewId="0">
      <selection activeCell="B5" sqref="B5"/>
    </sheetView>
  </sheetViews>
  <sheetFormatPr baseColWidth="10" defaultRowHeight="15" x14ac:dyDescent="0.25"/>
  <cols>
    <col min="2" max="2" width="17.42578125" bestFit="1" customWidth="1"/>
    <col min="3" max="3" width="94" customWidth="1"/>
  </cols>
  <sheetData>
    <row r="3" spans="2:3" ht="75" x14ac:dyDescent="0.25">
      <c r="B3" s="24" t="s">
        <v>91</v>
      </c>
      <c r="C3" s="2" t="s">
        <v>92</v>
      </c>
    </row>
  </sheetData>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D84CE-D47C-4D1F-AFD0-02BCCA88720A}">
  <sheetPr codeName="Tabelle3"/>
  <dimension ref="C2:U23"/>
  <sheetViews>
    <sheetView workbookViewId="0">
      <pane ySplit="3" topLeftCell="A4" activePane="bottomLeft" state="frozen"/>
      <selection pane="bottomLeft" activeCell="I13" sqref="I13"/>
    </sheetView>
  </sheetViews>
  <sheetFormatPr baseColWidth="10" defaultRowHeight="15" x14ac:dyDescent="0.25"/>
  <cols>
    <col min="3" max="3" width="11.42578125" style="4"/>
    <col min="4" max="4" width="66.5703125" style="2" customWidth="1"/>
    <col min="5" max="5" width="14.28515625" style="5" customWidth="1"/>
    <col min="6" max="6" width="7.5703125" style="5" bestFit="1" customWidth="1"/>
    <col min="7" max="9" width="20.140625" style="5" customWidth="1"/>
    <col min="10" max="21" width="5.140625" style="5" customWidth="1"/>
    <col min="22" max="22" width="5.140625" customWidth="1"/>
  </cols>
  <sheetData>
    <row r="2" spans="3:21" x14ac:dyDescent="0.25">
      <c r="J2" s="44" t="s">
        <v>4</v>
      </c>
      <c r="K2" s="44"/>
      <c r="L2" s="44"/>
      <c r="M2" s="44"/>
      <c r="N2" s="44"/>
      <c r="O2" s="44"/>
      <c r="P2" s="44"/>
      <c r="Q2" s="44"/>
      <c r="R2" s="44"/>
      <c r="S2" s="44"/>
      <c r="T2" s="44"/>
      <c r="U2" s="44"/>
    </row>
    <row r="3" spans="3:21" x14ac:dyDescent="0.25">
      <c r="C3" s="4" t="s">
        <v>0</v>
      </c>
      <c r="D3" s="2" t="s">
        <v>1</v>
      </c>
      <c r="E3" s="5" t="s">
        <v>6</v>
      </c>
      <c r="F3" s="5" t="s">
        <v>56</v>
      </c>
      <c r="G3" s="5" t="s">
        <v>7</v>
      </c>
      <c r="H3" s="5" t="s">
        <v>9</v>
      </c>
      <c r="I3" s="5" t="s">
        <v>8</v>
      </c>
      <c r="J3" s="44" t="s">
        <v>16</v>
      </c>
      <c r="K3" s="44"/>
      <c r="L3" s="44"/>
      <c r="M3" s="44" t="s">
        <v>2</v>
      </c>
      <c r="N3" s="44"/>
      <c r="O3" s="44"/>
      <c r="P3" s="44" t="s">
        <v>11</v>
      </c>
      <c r="Q3" s="44"/>
      <c r="R3" s="44"/>
      <c r="S3" s="44" t="s">
        <v>3</v>
      </c>
      <c r="T3" s="44"/>
      <c r="U3" s="44"/>
    </row>
    <row r="4" spans="3:21" ht="75" x14ac:dyDescent="0.25">
      <c r="C4" s="4" t="s">
        <v>5</v>
      </c>
      <c r="D4" s="2" t="s">
        <v>10</v>
      </c>
      <c r="E4" s="5" t="s">
        <v>12</v>
      </c>
      <c r="F4" s="5" t="s">
        <v>55</v>
      </c>
      <c r="G4" s="5" t="s">
        <v>14</v>
      </c>
      <c r="H4" s="5" t="s">
        <v>13</v>
      </c>
      <c r="I4" s="6" t="s">
        <v>15</v>
      </c>
      <c r="J4" s="6">
        <v>1</v>
      </c>
      <c r="K4" s="6">
        <v>10</v>
      </c>
      <c r="L4" s="6">
        <v>0</v>
      </c>
      <c r="S4" s="5">
        <v>2</v>
      </c>
      <c r="T4" s="5">
        <v>10</v>
      </c>
      <c r="U4" s="5">
        <v>0</v>
      </c>
    </row>
    <row r="5" spans="3:21" ht="60" x14ac:dyDescent="0.25">
      <c r="C5" s="4" t="s">
        <v>18</v>
      </c>
      <c r="D5" s="2" t="s">
        <v>17</v>
      </c>
      <c r="E5" s="5" t="s">
        <v>19</v>
      </c>
      <c r="F5" s="5" t="s">
        <v>55</v>
      </c>
      <c r="G5" s="5" t="s">
        <v>14</v>
      </c>
      <c r="H5" s="5" t="s">
        <v>13</v>
      </c>
      <c r="I5" s="6" t="s">
        <v>15</v>
      </c>
      <c r="J5" s="5">
        <v>1</v>
      </c>
      <c r="K5" s="5">
        <v>8</v>
      </c>
      <c r="L5" s="5">
        <v>0</v>
      </c>
    </row>
    <row r="6" spans="3:21" ht="150" x14ac:dyDescent="0.25">
      <c r="C6" s="4" t="s">
        <v>111</v>
      </c>
      <c r="D6" s="2" t="s">
        <v>112</v>
      </c>
      <c r="E6" s="5" t="s">
        <v>43</v>
      </c>
      <c r="F6" s="5" t="s">
        <v>58</v>
      </c>
      <c r="G6" s="5" t="s">
        <v>113</v>
      </c>
      <c r="H6" s="5" t="s">
        <v>13</v>
      </c>
      <c r="I6" s="6" t="s">
        <v>15</v>
      </c>
    </row>
    <row r="7" spans="3:21" ht="120" x14ac:dyDescent="0.25">
      <c r="C7" s="4" t="s">
        <v>20</v>
      </c>
      <c r="D7" s="2" t="s">
        <v>21</v>
      </c>
      <c r="E7" s="5" t="s">
        <v>22</v>
      </c>
      <c r="F7" s="5" t="s">
        <v>57</v>
      </c>
      <c r="G7" s="5" t="s">
        <v>14</v>
      </c>
      <c r="H7" s="5" t="s">
        <v>13</v>
      </c>
      <c r="I7" s="6" t="s">
        <v>15</v>
      </c>
      <c r="M7" s="5">
        <v>3</v>
      </c>
      <c r="N7" s="5">
        <v>6</v>
      </c>
      <c r="O7" s="5">
        <v>0</v>
      </c>
      <c r="P7" s="5">
        <v>4</v>
      </c>
      <c r="Q7" s="5">
        <v>6</v>
      </c>
      <c r="R7" s="5">
        <v>0</v>
      </c>
      <c r="S7" s="5">
        <v>5</v>
      </c>
      <c r="T7" s="5">
        <v>6</v>
      </c>
      <c r="U7" s="5">
        <v>0</v>
      </c>
    </row>
    <row r="8" spans="3:21" ht="45" x14ac:dyDescent="0.25">
      <c r="C8" s="4" t="s">
        <v>23</v>
      </c>
      <c r="D8" s="2" t="s">
        <v>24</v>
      </c>
      <c r="E8" s="5" t="s">
        <v>25</v>
      </c>
      <c r="F8" s="5" t="s">
        <v>25</v>
      </c>
      <c r="G8" s="5" t="s">
        <v>26</v>
      </c>
      <c r="H8" s="5" t="s">
        <v>13</v>
      </c>
      <c r="I8" s="6" t="s">
        <v>27</v>
      </c>
      <c r="M8" s="5">
        <v>1</v>
      </c>
      <c r="N8" s="5">
        <v>4</v>
      </c>
      <c r="O8" s="5">
        <v>4</v>
      </c>
      <c r="P8" s="5">
        <v>1</v>
      </c>
      <c r="Q8" s="5">
        <v>4</v>
      </c>
      <c r="R8" s="5">
        <v>9</v>
      </c>
      <c r="S8" s="5">
        <v>1</v>
      </c>
      <c r="T8" s="5">
        <v>4</v>
      </c>
      <c r="U8" s="5">
        <v>13</v>
      </c>
    </row>
    <row r="9" spans="3:21" ht="75" x14ac:dyDescent="0.25">
      <c r="C9" s="4" t="s">
        <v>30</v>
      </c>
      <c r="D9" s="2" t="s">
        <v>28</v>
      </c>
      <c r="E9" s="5" t="s">
        <v>19</v>
      </c>
      <c r="F9" s="5" t="s">
        <v>55</v>
      </c>
      <c r="G9" s="5" t="s">
        <v>14</v>
      </c>
      <c r="H9" s="5" t="s">
        <v>13</v>
      </c>
      <c r="I9" s="6" t="s">
        <v>29</v>
      </c>
      <c r="J9" s="5">
        <v>1</v>
      </c>
      <c r="K9" s="5">
        <v>10</v>
      </c>
      <c r="L9" s="5">
        <v>0</v>
      </c>
    </row>
    <row r="10" spans="3:21" ht="75" x14ac:dyDescent="0.25">
      <c r="C10" s="4" t="s">
        <v>31</v>
      </c>
      <c r="D10" s="2" t="s">
        <v>28</v>
      </c>
      <c r="E10" s="5" t="s">
        <v>32</v>
      </c>
      <c r="F10" s="5" t="s">
        <v>57</v>
      </c>
      <c r="G10" s="5" t="s">
        <v>14</v>
      </c>
      <c r="H10" s="5" t="s">
        <v>33</v>
      </c>
      <c r="I10" s="5" t="s">
        <v>34</v>
      </c>
      <c r="M10" s="5">
        <v>2</v>
      </c>
      <c r="N10" s="5">
        <v>6</v>
      </c>
      <c r="O10" s="5">
        <v>0</v>
      </c>
      <c r="P10" s="5">
        <v>3</v>
      </c>
      <c r="Q10" s="5">
        <v>6</v>
      </c>
      <c r="R10" s="5">
        <v>0</v>
      </c>
      <c r="S10" s="5">
        <v>4</v>
      </c>
      <c r="T10" s="5">
        <v>6</v>
      </c>
      <c r="U10" s="5">
        <v>0</v>
      </c>
    </row>
    <row r="11" spans="3:21" ht="105" x14ac:dyDescent="0.25">
      <c r="C11" s="4" t="s">
        <v>35</v>
      </c>
      <c r="D11" s="2" t="s">
        <v>36</v>
      </c>
      <c r="E11" s="5" t="s">
        <v>12</v>
      </c>
      <c r="F11" s="5" t="s">
        <v>25</v>
      </c>
      <c r="G11" s="5" t="s">
        <v>14</v>
      </c>
      <c r="H11" s="5" t="s">
        <v>13</v>
      </c>
      <c r="I11" s="6" t="s">
        <v>15</v>
      </c>
      <c r="M11" s="5">
        <v>3</v>
      </c>
      <c r="N11" s="5">
        <v>4</v>
      </c>
      <c r="O11" s="5">
        <v>3</v>
      </c>
      <c r="P11" s="5">
        <v>4</v>
      </c>
      <c r="Q11" s="5">
        <v>4</v>
      </c>
      <c r="R11" s="5">
        <v>4</v>
      </c>
      <c r="S11" s="5">
        <v>5</v>
      </c>
      <c r="T11" s="5">
        <v>4</v>
      </c>
      <c r="U11" s="5">
        <v>5</v>
      </c>
    </row>
    <row r="12" spans="3:21" ht="60" x14ac:dyDescent="0.25">
      <c r="C12" s="4" t="s">
        <v>122</v>
      </c>
      <c r="D12" s="2" t="s">
        <v>123</v>
      </c>
      <c r="E12" s="5" t="s">
        <v>103</v>
      </c>
      <c r="F12" s="5" t="s">
        <v>58</v>
      </c>
      <c r="G12" s="5" t="s">
        <v>125</v>
      </c>
      <c r="H12" s="5" t="s">
        <v>13</v>
      </c>
      <c r="I12" s="6" t="s">
        <v>124</v>
      </c>
    </row>
    <row r="13" spans="3:21" ht="45" x14ac:dyDescent="0.25">
      <c r="C13" s="4" t="s">
        <v>37</v>
      </c>
      <c r="D13" s="2" t="s">
        <v>38</v>
      </c>
      <c r="E13" s="5" t="s">
        <v>25</v>
      </c>
      <c r="F13" s="5" t="s">
        <v>25</v>
      </c>
      <c r="G13" s="5" t="s">
        <v>39</v>
      </c>
      <c r="H13" s="5" t="s">
        <v>40</v>
      </c>
      <c r="I13" s="6" t="s">
        <v>15</v>
      </c>
      <c r="O13" s="5">
        <v>5</v>
      </c>
    </row>
    <row r="14" spans="3:21" ht="120" x14ac:dyDescent="0.25">
      <c r="C14" s="4" t="s">
        <v>41</v>
      </c>
      <c r="D14" s="2" t="s">
        <v>42</v>
      </c>
      <c r="E14" s="5" t="s">
        <v>43</v>
      </c>
      <c r="F14" s="5" t="s">
        <v>58</v>
      </c>
      <c r="G14" s="5" t="s">
        <v>44</v>
      </c>
      <c r="H14" s="5" t="s">
        <v>13</v>
      </c>
      <c r="I14" s="6" t="s">
        <v>45</v>
      </c>
      <c r="M14" s="5">
        <v>1</v>
      </c>
      <c r="N14" s="5">
        <v>12</v>
      </c>
      <c r="O14" s="5">
        <v>0</v>
      </c>
      <c r="P14" s="5">
        <v>2</v>
      </c>
      <c r="Q14" s="5">
        <v>12</v>
      </c>
      <c r="R14" s="5">
        <v>0</v>
      </c>
      <c r="S14" s="5">
        <v>3</v>
      </c>
      <c r="T14" s="5">
        <v>12</v>
      </c>
      <c r="U14" s="5">
        <v>0</v>
      </c>
    </row>
    <row r="15" spans="3:21" ht="120" x14ac:dyDescent="0.25">
      <c r="C15" s="4" t="s">
        <v>46</v>
      </c>
      <c r="D15" s="2" t="s">
        <v>42</v>
      </c>
      <c r="E15" s="5" t="s">
        <v>43</v>
      </c>
      <c r="F15" s="5" t="s">
        <v>25</v>
      </c>
      <c r="G15" s="5" t="s">
        <v>44</v>
      </c>
      <c r="H15" s="5" t="s">
        <v>13</v>
      </c>
      <c r="I15" s="6" t="s">
        <v>45</v>
      </c>
      <c r="J15" s="5">
        <v>1</v>
      </c>
      <c r="K15" s="5">
        <v>12</v>
      </c>
      <c r="L15" s="5">
        <v>0</v>
      </c>
    </row>
    <row r="16" spans="3:21" ht="210" x14ac:dyDescent="0.25">
      <c r="C16" s="4" t="s">
        <v>47</v>
      </c>
      <c r="D16" s="2" t="s">
        <v>52</v>
      </c>
      <c r="E16" s="5" t="s">
        <v>19</v>
      </c>
      <c r="F16" s="5" t="s">
        <v>57</v>
      </c>
      <c r="G16" s="5" t="s">
        <v>48</v>
      </c>
      <c r="H16" s="5" t="s">
        <v>13</v>
      </c>
      <c r="I16" s="6" t="s">
        <v>49</v>
      </c>
      <c r="P16" s="5">
        <v>2</v>
      </c>
      <c r="Q16" s="5">
        <v>6</v>
      </c>
      <c r="R16" s="5">
        <v>0</v>
      </c>
      <c r="S16" s="5">
        <v>3</v>
      </c>
      <c r="T16" s="5">
        <v>6</v>
      </c>
      <c r="U16" s="5">
        <v>0</v>
      </c>
    </row>
    <row r="17" spans="3:21" ht="210" x14ac:dyDescent="0.25">
      <c r="C17" s="7" t="s">
        <v>50</v>
      </c>
      <c r="D17" s="2" t="s">
        <v>52</v>
      </c>
      <c r="E17" s="5" t="s">
        <v>19</v>
      </c>
      <c r="F17" s="5" t="s">
        <v>57</v>
      </c>
      <c r="G17" s="5" t="s">
        <v>48</v>
      </c>
      <c r="H17" s="5" t="s">
        <v>13</v>
      </c>
      <c r="I17" s="6" t="s">
        <v>49</v>
      </c>
      <c r="J17" s="5">
        <v>2</v>
      </c>
      <c r="K17" s="5">
        <v>6</v>
      </c>
      <c r="L17" s="5">
        <v>0</v>
      </c>
      <c r="P17" s="5">
        <v>2</v>
      </c>
      <c r="Q17" s="5">
        <v>6</v>
      </c>
      <c r="R17" s="5">
        <v>0</v>
      </c>
    </row>
    <row r="18" spans="3:21" ht="210" x14ac:dyDescent="0.25">
      <c r="C18" s="7" t="s">
        <v>51</v>
      </c>
      <c r="D18" s="2" t="s">
        <v>52</v>
      </c>
      <c r="E18" s="5" t="s">
        <v>19</v>
      </c>
      <c r="F18" s="5" t="s">
        <v>57</v>
      </c>
      <c r="G18" s="5" t="s">
        <v>48</v>
      </c>
      <c r="H18" s="5" t="s">
        <v>13</v>
      </c>
      <c r="I18" s="6" t="s">
        <v>49</v>
      </c>
      <c r="J18" s="5">
        <v>3</v>
      </c>
      <c r="K18" s="5">
        <v>6</v>
      </c>
      <c r="L18" s="5">
        <v>0</v>
      </c>
      <c r="S18" s="5">
        <v>3</v>
      </c>
      <c r="T18" s="5">
        <v>6</v>
      </c>
      <c r="U18" s="5">
        <v>0</v>
      </c>
    </row>
    <row r="19" spans="3:21" ht="90" x14ac:dyDescent="0.25">
      <c r="C19" s="4" t="s">
        <v>53</v>
      </c>
      <c r="D19" s="2" t="s">
        <v>54</v>
      </c>
      <c r="E19" s="5" t="s">
        <v>19</v>
      </c>
      <c r="F19" s="5" t="s">
        <v>55</v>
      </c>
      <c r="G19" s="5" t="s">
        <v>48</v>
      </c>
      <c r="H19" s="5" t="s">
        <v>13</v>
      </c>
      <c r="I19" s="6" t="s">
        <v>15</v>
      </c>
    </row>
    <row r="20" spans="3:21" ht="135" x14ac:dyDescent="0.25">
      <c r="C20" s="4" t="s">
        <v>101</v>
      </c>
      <c r="D20" s="2" t="s">
        <v>102</v>
      </c>
      <c r="E20" s="5" t="s">
        <v>103</v>
      </c>
      <c r="G20" s="5" t="s">
        <v>104</v>
      </c>
      <c r="H20" s="5" t="s">
        <v>13</v>
      </c>
      <c r="I20" s="6" t="s">
        <v>110</v>
      </c>
    </row>
    <row r="21" spans="3:21" ht="225" x14ac:dyDescent="0.25">
      <c r="C21" s="4" t="s">
        <v>105</v>
      </c>
      <c r="D21" s="2" t="s">
        <v>106</v>
      </c>
      <c r="E21" s="5" t="s">
        <v>107</v>
      </c>
      <c r="F21" s="5" t="s">
        <v>57</v>
      </c>
      <c r="G21" s="5" t="s">
        <v>108</v>
      </c>
      <c r="H21" s="5" t="s">
        <v>13</v>
      </c>
      <c r="I21" s="6" t="s">
        <v>109</v>
      </c>
    </row>
    <row r="22" spans="3:21" x14ac:dyDescent="0.25">
      <c r="C22" s="4" t="s">
        <v>100</v>
      </c>
      <c r="J22" s="5">
        <v>2</v>
      </c>
      <c r="K22" s="5">
        <v>20</v>
      </c>
      <c r="L22" s="5">
        <v>0</v>
      </c>
      <c r="M22" s="5">
        <v>2</v>
      </c>
      <c r="N22" s="5">
        <v>20</v>
      </c>
      <c r="O22" s="5">
        <v>0</v>
      </c>
      <c r="P22" s="5">
        <v>2</v>
      </c>
      <c r="Q22" s="5">
        <v>20</v>
      </c>
      <c r="R22" s="5">
        <v>0</v>
      </c>
      <c r="S22" s="5">
        <v>2</v>
      </c>
      <c r="T22" s="5">
        <v>20</v>
      </c>
      <c r="U22" s="5">
        <v>0</v>
      </c>
    </row>
    <row r="23" spans="3:21" x14ac:dyDescent="0.25">
      <c r="C23" s="4" t="s">
        <v>127</v>
      </c>
      <c r="J23" s="5">
        <v>2</v>
      </c>
      <c r="K23" s="5">
        <v>6</v>
      </c>
      <c r="L23" s="5">
        <v>0</v>
      </c>
      <c r="M23" s="5">
        <v>2</v>
      </c>
      <c r="N23" s="5">
        <v>6</v>
      </c>
      <c r="O23" s="5">
        <v>0</v>
      </c>
      <c r="P23" s="5">
        <v>2</v>
      </c>
      <c r="Q23" s="5">
        <v>6</v>
      </c>
      <c r="R23" s="5">
        <v>0</v>
      </c>
      <c r="S23" s="5">
        <v>2</v>
      </c>
      <c r="T23" s="5">
        <v>6</v>
      </c>
      <c r="U23" s="5">
        <v>0</v>
      </c>
    </row>
  </sheetData>
  <mergeCells count="5">
    <mergeCell ref="M3:O3"/>
    <mergeCell ref="P3:R3"/>
    <mergeCell ref="S3:U3"/>
    <mergeCell ref="J3:L3"/>
    <mergeCell ref="J2:U2"/>
  </mergeCell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1464E9-4EA6-4587-A0B6-2D1677F94864}">
  <sheetPr codeName="Tabelle4"/>
  <dimension ref="C1:T12"/>
  <sheetViews>
    <sheetView workbookViewId="0">
      <selection activeCell="H24" sqref="H24"/>
    </sheetView>
  </sheetViews>
  <sheetFormatPr baseColWidth="10" defaultRowHeight="15" x14ac:dyDescent="0.25"/>
  <cols>
    <col min="3" max="3" width="0" hidden="1" customWidth="1"/>
    <col min="16" max="16" width="13.85546875" customWidth="1"/>
    <col min="17" max="17" width="6.7109375" customWidth="1"/>
  </cols>
  <sheetData>
    <row r="1" spans="3:20" x14ac:dyDescent="0.25">
      <c r="Q1" t="s">
        <v>73</v>
      </c>
      <c r="T1" t="s">
        <v>75</v>
      </c>
    </row>
    <row r="2" spans="3:20" x14ac:dyDescent="0.25">
      <c r="O2" t="s">
        <v>16</v>
      </c>
      <c r="P2" t="s">
        <v>70</v>
      </c>
      <c r="Q2">
        <f>J11</f>
        <v>11</v>
      </c>
      <c r="T2" t="s">
        <v>76</v>
      </c>
    </row>
    <row r="3" spans="3:20" x14ac:dyDescent="0.25">
      <c r="O3">
        <v>1</v>
      </c>
      <c r="P3" t="s">
        <v>71</v>
      </c>
      <c r="Q3">
        <f>MAX(J11:K11)</f>
        <v>14</v>
      </c>
    </row>
    <row r="4" spans="3:20" x14ac:dyDescent="0.25">
      <c r="O4">
        <v>2</v>
      </c>
      <c r="P4" t="s">
        <v>72</v>
      </c>
      <c r="Q4">
        <f>MIN(J11:K11)</f>
        <v>11</v>
      </c>
    </row>
    <row r="5" spans="3:20" x14ac:dyDescent="0.25">
      <c r="E5">
        <v>1</v>
      </c>
      <c r="F5">
        <v>2</v>
      </c>
      <c r="G5">
        <v>3</v>
      </c>
      <c r="H5">
        <v>4</v>
      </c>
      <c r="I5">
        <v>5</v>
      </c>
      <c r="J5">
        <v>6</v>
      </c>
      <c r="K5">
        <v>7</v>
      </c>
      <c r="O5">
        <v>3</v>
      </c>
    </row>
    <row r="6" spans="3:20" x14ac:dyDescent="0.25">
      <c r="C6">
        <v>4</v>
      </c>
      <c r="D6">
        <v>4</v>
      </c>
      <c r="E6">
        <v>2</v>
      </c>
      <c r="F6">
        <v>3</v>
      </c>
      <c r="G6">
        <v>4</v>
      </c>
      <c r="H6">
        <v>3</v>
      </c>
      <c r="I6">
        <v>2</v>
      </c>
      <c r="J6">
        <v>3</v>
      </c>
      <c r="K6">
        <v>3</v>
      </c>
    </row>
    <row r="7" spans="3:20" x14ac:dyDescent="0.25">
      <c r="C7">
        <v>6</v>
      </c>
      <c r="D7">
        <v>6</v>
      </c>
      <c r="E7">
        <v>4</v>
      </c>
      <c r="F7">
        <v>2</v>
      </c>
      <c r="G7">
        <v>6</v>
      </c>
      <c r="H7">
        <v>1</v>
      </c>
      <c r="I7">
        <v>5</v>
      </c>
      <c r="J7">
        <v>4</v>
      </c>
      <c r="K7">
        <v>5</v>
      </c>
    </row>
    <row r="8" spans="3:20" x14ac:dyDescent="0.25">
      <c r="C8">
        <v>8</v>
      </c>
      <c r="D8">
        <v>8</v>
      </c>
      <c r="E8">
        <v>3</v>
      </c>
      <c r="F8">
        <v>8</v>
      </c>
      <c r="G8">
        <v>3</v>
      </c>
      <c r="H8">
        <v>1</v>
      </c>
      <c r="I8">
        <v>3</v>
      </c>
      <c r="J8">
        <v>4</v>
      </c>
      <c r="K8">
        <v>4</v>
      </c>
    </row>
    <row r="9" spans="3:20" x14ac:dyDescent="0.25">
      <c r="C9">
        <v>10</v>
      </c>
      <c r="D9">
        <v>10</v>
      </c>
      <c r="E9">
        <v>6</v>
      </c>
      <c r="F9">
        <v>10</v>
      </c>
      <c r="G9">
        <v>2</v>
      </c>
      <c r="H9">
        <v>3</v>
      </c>
      <c r="I9">
        <v>4</v>
      </c>
      <c r="J9">
        <v>10</v>
      </c>
      <c r="K9">
        <v>10</v>
      </c>
    </row>
    <row r="10" spans="3:20" x14ac:dyDescent="0.25">
      <c r="C10">
        <v>12</v>
      </c>
      <c r="D10">
        <v>12</v>
      </c>
      <c r="E10">
        <v>6</v>
      </c>
      <c r="F10">
        <v>12</v>
      </c>
      <c r="G10">
        <v>9</v>
      </c>
      <c r="H10">
        <v>5</v>
      </c>
      <c r="I10">
        <v>5</v>
      </c>
      <c r="J10">
        <v>8</v>
      </c>
      <c r="K10">
        <v>4</v>
      </c>
    </row>
    <row r="11" spans="3:20" x14ac:dyDescent="0.25">
      <c r="C11">
        <v>20</v>
      </c>
      <c r="D11">
        <v>20</v>
      </c>
      <c r="E11">
        <v>12</v>
      </c>
      <c r="F11">
        <v>17</v>
      </c>
      <c r="G11">
        <v>1</v>
      </c>
      <c r="H11">
        <v>12</v>
      </c>
      <c r="I11">
        <v>17</v>
      </c>
      <c r="J11">
        <v>11</v>
      </c>
      <c r="K11">
        <v>14</v>
      </c>
    </row>
    <row r="12" spans="3:20" x14ac:dyDescent="0.25">
      <c r="C12">
        <v>100</v>
      </c>
      <c r="D12">
        <v>100</v>
      </c>
      <c r="E12">
        <v>6</v>
      </c>
      <c r="F12">
        <v>41</v>
      </c>
      <c r="G12">
        <v>34</v>
      </c>
      <c r="H12">
        <v>32</v>
      </c>
      <c r="I12">
        <v>41</v>
      </c>
      <c r="J12">
        <v>23</v>
      </c>
      <c r="K12">
        <v>90</v>
      </c>
    </row>
  </sheetData>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2C7BD-D82F-49BB-AF82-2C77059C9BE3}">
  <dimension ref="B4:D6"/>
  <sheetViews>
    <sheetView workbookViewId="0">
      <selection activeCell="C6" sqref="C6"/>
    </sheetView>
  </sheetViews>
  <sheetFormatPr baseColWidth="10" defaultRowHeight="15" x14ac:dyDescent="0.25"/>
  <cols>
    <col min="2" max="2" width="14.140625" customWidth="1"/>
    <col min="3" max="3" width="64" customWidth="1"/>
  </cols>
  <sheetData>
    <row r="4" spans="2:4" ht="45" x14ac:dyDescent="0.25">
      <c r="B4" t="s">
        <v>116</v>
      </c>
      <c r="C4" s="2" t="s">
        <v>117</v>
      </c>
    </row>
    <row r="6" spans="2:4" x14ac:dyDescent="0.25">
      <c r="B6" s="8" t="s">
        <v>118</v>
      </c>
      <c r="C6" t="s">
        <v>119</v>
      </c>
      <c r="D6" t="s">
        <v>120</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6</vt:i4>
      </vt:variant>
    </vt:vector>
  </HeadingPairs>
  <TitlesOfParts>
    <vt:vector size="6" baseType="lpstr">
      <vt:lpstr>GUI</vt:lpstr>
      <vt:lpstr>Character</vt:lpstr>
      <vt:lpstr>Infos</vt:lpstr>
      <vt:lpstr>Spells</vt:lpstr>
      <vt:lpstr>Würfel</vt:lpstr>
      <vt:lpstr>Wissenssammlung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Maurus Pally</dc:creator>
  <cp:lastModifiedBy>Maurus Pally</cp:lastModifiedBy>
  <dcterms:created xsi:type="dcterms:W3CDTF">2020-04-13T14:03:57Z</dcterms:created>
  <dcterms:modified xsi:type="dcterms:W3CDTF">2021-07-29T16:49:06Z</dcterms:modified>
</cp:coreProperties>
</file>